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-105" windowWidth="23250" windowHeight="12570" firstSheet="2" activeTab="3"/>
  </bookViews>
  <sheets>
    <sheet name="سودوزیان " sheetId="2" state="hidden" r:id="rId1"/>
    <sheet name="عملکرددی" sheetId="3" state="hidden" r:id="rId2"/>
    <sheet name="3 ماهه" sheetId="4" r:id="rId3"/>
    <sheet name="تجمیع 12 ماهه" sheetId="1" r:id="rId4"/>
  </sheets>
  <externalReferences>
    <externalReference r:id="rId5"/>
    <externalReference r:id="rId6"/>
  </externalReferences>
  <definedNames>
    <definedName name="_xlnm.Print_Area" localSheetId="2">'3 ماهه'!$A$1:$R$81</definedName>
    <definedName name="setad" localSheetId="2">#REF!</definedName>
    <definedName name="setad">#REF!</definedName>
    <definedName name="Z_2927D1D2_98DD_41DA_A352_1FC52098543F_.wvu.Cols" localSheetId="2" hidden="1">'3 ماهه'!$K:$P</definedName>
    <definedName name="Z_2927D1D2_98DD_41DA_A352_1FC52098543F_.wvu.PrintArea" localSheetId="2" hidden="1">'3 ماهه'!$A$1:$R$81</definedName>
    <definedName name="Z_3984CE8E_390A_4830_B7FC_D7783D88487D_.wvu.PrintArea" localSheetId="2" hidden="1">'3 ماهه'!$A$1:$R$81</definedName>
    <definedName name="Z_74ED7A36_0A6D_419F_AF21_86902042F3A1_.wvu.PrintArea" localSheetId="2" hidden="1">'3 ماهه'!#REF!</definedName>
    <definedName name="Z_7F2FF59E_536A_4325_AEE2_63F0D1B42E10_.wvu.Cols" localSheetId="2" hidden="1">'3 ماهه'!$K:$P</definedName>
    <definedName name="Z_7F2FF59E_536A_4325_AEE2_63F0D1B42E10_.wvu.PrintArea" localSheetId="2" hidden="1">'3 ماهه'!#REF!</definedName>
    <definedName name="Z_90326ADD_529F_4FDD_921F_DD227CA80475_.wvu.PrintArea" localSheetId="2" hidden="1">'3 ماهه'!#REF!</definedName>
    <definedName name="Z_B5B449E6_4D3E_4E3D_A79F_8E3967E791B9_.wvu.PrintArea" localSheetId="2" hidden="1">'3 ماهه'!#REF!</definedName>
    <definedName name="Z_CC63AE5E_EBE4_4E1D_9541_ABCE3BA4B50C_.wvu.PrintArea" localSheetId="2" hidden="1">'3 ماهه'!$A$1:$R$81</definedName>
    <definedName name="Z_D7A03266_5EBF_414C_8692_5D5C2139DC63_.wvu.PrintArea" localSheetId="2" hidden="1">'3 ماهه'!$A$1:$R$81</definedName>
    <definedName name="س" localSheetId="2">#REF!</definedName>
    <definedName name="س">#REF!</definedName>
    <definedName name="ئخق" localSheetId="2">#REF!</definedName>
    <definedName name="ئخق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" i="1" l="1"/>
  <c r="L7" i="1"/>
  <c r="L6" i="1"/>
  <c r="K6" i="1"/>
  <c r="G8" i="1"/>
  <c r="G41" i="1"/>
  <c r="G42" i="1" s="1"/>
  <c r="G43" i="1" s="1"/>
  <c r="Q81" i="4"/>
  <c r="R81" i="4" s="1"/>
  <c r="R77" i="4"/>
  <c r="Q77" i="4"/>
  <c r="P77" i="4"/>
  <c r="O77" i="4"/>
  <c r="N77" i="4"/>
  <c r="M77" i="4"/>
  <c r="L77" i="4"/>
  <c r="K77" i="4"/>
  <c r="J77" i="4"/>
  <c r="I77" i="4"/>
  <c r="H77" i="4"/>
  <c r="F77" i="4"/>
  <c r="E77" i="4"/>
  <c r="D77" i="4"/>
  <c r="G76" i="4"/>
  <c r="G77" i="4" s="1"/>
  <c r="P64" i="4"/>
  <c r="O64" i="4"/>
  <c r="N64" i="4"/>
  <c r="M64" i="4"/>
  <c r="L64" i="4"/>
  <c r="K64" i="4"/>
  <c r="J64" i="4"/>
  <c r="I64" i="4"/>
  <c r="H64" i="4"/>
  <c r="F64" i="4"/>
  <c r="D64" i="4"/>
  <c r="Q63" i="4"/>
  <c r="R63" i="4" s="1"/>
  <c r="G63" i="4"/>
  <c r="F63" i="4"/>
  <c r="E63" i="4"/>
  <c r="R62" i="4"/>
  <c r="Q62" i="4"/>
  <c r="G61" i="4"/>
  <c r="G64" i="4" s="1"/>
  <c r="F61" i="4"/>
  <c r="E61" i="4"/>
  <c r="Q60" i="4"/>
  <c r="G60" i="4"/>
  <c r="F60" i="4"/>
  <c r="E60" i="4"/>
  <c r="E64" i="4" s="1"/>
  <c r="P59" i="4"/>
  <c r="O59" i="4"/>
  <c r="N59" i="4"/>
  <c r="M59" i="4"/>
  <c r="L59" i="4"/>
  <c r="K59" i="4"/>
  <c r="J59" i="4"/>
  <c r="J65" i="4" s="1"/>
  <c r="I59" i="4"/>
  <c r="I65" i="4" s="1"/>
  <c r="H59" i="4"/>
  <c r="G59" i="4"/>
  <c r="F59" i="4"/>
  <c r="D59" i="4"/>
  <c r="Q58" i="4"/>
  <c r="R58" i="4" s="1"/>
  <c r="G58" i="4"/>
  <c r="F58" i="4"/>
  <c r="E58" i="4"/>
  <c r="E59" i="4" s="1"/>
  <c r="G57" i="4"/>
  <c r="Q57" i="4" s="1"/>
  <c r="R57" i="4" s="1"/>
  <c r="Q56" i="4"/>
  <c r="R56" i="4" s="1"/>
  <c r="Q55" i="4"/>
  <c r="R55" i="4" s="1"/>
  <c r="Q54" i="4"/>
  <c r="Q59" i="4" s="1"/>
  <c r="P53" i="4"/>
  <c r="O53" i="4"/>
  <c r="N53" i="4"/>
  <c r="M53" i="4"/>
  <c r="L53" i="4"/>
  <c r="K53" i="4"/>
  <c r="J53" i="4"/>
  <c r="I53" i="4"/>
  <c r="H53" i="4"/>
  <c r="G53" i="4"/>
  <c r="D53" i="4"/>
  <c r="G52" i="4"/>
  <c r="F52" i="4"/>
  <c r="E52" i="4"/>
  <c r="Q52" i="4" s="1"/>
  <c r="R52" i="4" s="1"/>
  <c r="Q51" i="4"/>
  <c r="R51" i="4" s="1"/>
  <c r="Q50" i="4"/>
  <c r="R50" i="4" s="1"/>
  <c r="Q49" i="4"/>
  <c r="R49" i="4" s="1"/>
  <c r="Q48" i="4"/>
  <c r="R48" i="4" s="1"/>
  <c r="G48" i="4"/>
  <c r="F48" i="4"/>
  <c r="F53" i="4" s="1"/>
  <c r="E48" i="4"/>
  <c r="E53" i="4" s="1"/>
  <c r="Q47" i="4"/>
  <c r="Q53" i="4" s="1"/>
  <c r="P46" i="4"/>
  <c r="O46" i="4"/>
  <c r="N46" i="4"/>
  <c r="M46" i="4"/>
  <c r="L46" i="4"/>
  <c r="K46" i="4"/>
  <c r="J46" i="4"/>
  <c r="I46" i="4"/>
  <c r="H46" i="4"/>
  <c r="H65" i="4" s="1"/>
  <c r="D46" i="4"/>
  <c r="R47" i="4" s="1"/>
  <c r="R53" i="4" s="1"/>
  <c r="G45" i="4"/>
  <c r="F45" i="4"/>
  <c r="E45" i="4"/>
  <c r="Q45" i="4" s="1"/>
  <c r="R45" i="4" s="1"/>
  <c r="Q44" i="4"/>
  <c r="R44" i="4" s="1"/>
  <c r="R43" i="4"/>
  <c r="Q43" i="4"/>
  <c r="Q42" i="4"/>
  <c r="R42" i="4" s="1"/>
  <c r="R41" i="4"/>
  <c r="Q41" i="4"/>
  <c r="Q40" i="4"/>
  <c r="R40" i="4" s="1"/>
  <c r="R39" i="4"/>
  <c r="Q39" i="4"/>
  <c r="G38" i="4"/>
  <c r="Q38" i="4" s="1"/>
  <c r="R38" i="4" s="1"/>
  <c r="F38" i="4"/>
  <c r="E38" i="4"/>
  <c r="Q37" i="4"/>
  <c r="R37" i="4" s="1"/>
  <c r="F36" i="4"/>
  <c r="E36" i="4"/>
  <c r="Q36" i="4" s="1"/>
  <c r="R36" i="4" s="1"/>
  <c r="G35" i="4"/>
  <c r="F35" i="4"/>
  <c r="E35" i="4"/>
  <c r="Q35" i="4" s="1"/>
  <c r="R35" i="4" s="1"/>
  <c r="G34" i="4"/>
  <c r="Q34" i="4" s="1"/>
  <c r="R34" i="4" s="1"/>
  <c r="F34" i="4"/>
  <c r="E34" i="4"/>
  <c r="Q33" i="4"/>
  <c r="G33" i="4"/>
  <c r="G46" i="4" s="1"/>
  <c r="F33" i="4"/>
  <c r="F46" i="4" s="1"/>
  <c r="E33" i="4"/>
  <c r="E46" i="4" s="1"/>
  <c r="P32" i="4"/>
  <c r="O32" i="4"/>
  <c r="N32" i="4"/>
  <c r="M32" i="4"/>
  <c r="L32" i="4"/>
  <c r="K32" i="4"/>
  <c r="J32" i="4"/>
  <c r="I32" i="4"/>
  <c r="H32" i="4"/>
  <c r="G32" i="4"/>
  <c r="F32" i="4"/>
  <c r="D32" i="4"/>
  <c r="Q31" i="4"/>
  <c r="R31" i="4" s="1"/>
  <c r="G31" i="4"/>
  <c r="F31" i="4"/>
  <c r="E31" i="4"/>
  <c r="G30" i="4"/>
  <c r="F30" i="4"/>
  <c r="E30" i="4"/>
  <c r="Q30" i="4" s="1"/>
  <c r="R30" i="4" s="1"/>
  <c r="R29" i="4"/>
  <c r="Q29" i="4"/>
  <c r="Q28" i="4"/>
  <c r="R28" i="4" s="1"/>
  <c r="R27" i="4"/>
  <c r="Q27" i="4"/>
  <c r="Q26" i="4"/>
  <c r="R26" i="4" s="1"/>
  <c r="E25" i="4"/>
  <c r="Q25" i="4" s="1"/>
  <c r="R25" i="4" s="1"/>
  <c r="G24" i="4"/>
  <c r="F24" i="4"/>
  <c r="E24" i="4"/>
  <c r="E32" i="4" s="1"/>
  <c r="P23" i="4"/>
  <c r="O23" i="4"/>
  <c r="N23" i="4"/>
  <c r="M23" i="4"/>
  <c r="L23" i="4"/>
  <c r="K23" i="4"/>
  <c r="J23" i="4"/>
  <c r="I23" i="4"/>
  <c r="H23" i="4"/>
  <c r="D23" i="4"/>
  <c r="D65" i="4" s="1"/>
  <c r="G22" i="4"/>
  <c r="F22" i="4"/>
  <c r="E22" i="4"/>
  <c r="Q22" i="4" s="1"/>
  <c r="R22" i="4" s="1"/>
  <c r="Q21" i="4"/>
  <c r="R21" i="4" s="1"/>
  <c r="Q20" i="4"/>
  <c r="R20" i="4" s="1"/>
  <c r="G20" i="4"/>
  <c r="F20" i="4"/>
  <c r="E20" i="4"/>
  <c r="G19" i="4"/>
  <c r="F19" i="4"/>
  <c r="E19" i="4"/>
  <c r="Q19" i="4" s="1"/>
  <c r="R19" i="4" s="1"/>
  <c r="G18" i="4"/>
  <c r="F18" i="4"/>
  <c r="E18" i="4"/>
  <c r="Q18" i="4" s="1"/>
  <c r="R18" i="4" s="1"/>
  <c r="Q17" i="4"/>
  <c r="R17" i="4" s="1"/>
  <c r="G16" i="4"/>
  <c r="F16" i="4"/>
  <c r="E16" i="4"/>
  <c r="Q16" i="4" s="1"/>
  <c r="R16" i="4" s="1"/>
  <c r="G15" i="4"/>
  <c r="F15" i="4"/>
  <c r="Q15" i="4" s="1"/>
  <c r="R15" i="4" s="1"/>
  <c r="E15" i="4"/>
  <c r="G14" i="4"/>
  <c r="Q14" i="4" s="1"/>
  <c r="R14" i="4" s="1"/>
  <c r="F14" i="4"/>
  <c r="E14" i="4"/>
  <c r="Q13" i="4"/>
  <c r="R13" i="4" s="1"/>
  <c r="G13" i="4"/>
  <c r="F13" i="4"/>
  <c r="E13" i="4"/>
  <c r="R12" i="4"/>
  <c r="Q12" i="4"/>
  <c r="G11" i="4"/>
  <c r="Q11" i="4" s="1"/>
  <c r="R11" i="4" s="1"/>
  <c r="G10" i="4"/>
  <c r="F10" i="4"/>
  <c r="Q10" i="4" s="1"/>
  <c r="R10" i="4" s="1"/>
  <c r="E10" i="4"/>
  <c r="Q9" i="4"/>
  <c r="R9" i="4" s="1"/>
  <c r="G8" i="4"/>
  <c r="F8" i="4"/>
  <c r="E8" i="4"/>
  <c r="Q8" i="4" s="1"/>
  <c r="R8" i="4" s="1"/>
  <c r="G7" i="4"/>
  <c r="F7" i="4"/>
  <c r="Q7" i="4" s="1"/>
  <c r="R7" i="4" s="1"/>
  <c r="E7" i="4"/>
  <c r="G6" i="4"/>
  <c r="Q6" i="4" s="1"/>
  <c r="R6" i="4" s="1"/>
  <c r="F6" i="4"/>
  <c r="E6" i="4"/>
  <c r="Q5" i="4"/>
  <c r="R5" i="4" s="1"/>
  <c r="G5" i="4"/>
  <c r="F5" i="4"/>
  <c r="E5" i="4"/>
  <c r="G4" i="4"/>
  <c r="F4" i="4"/>
  <c r="F23" i="4" s="1"/>
  <c r="E4" i="4"/>
  <c r="Q4" i="4" s="1"/>
  <c r="I7" i="1"/>
  <c r="G7" i="1"/>
  <c r="E7" i="1"/>
  <c r="F6" i="1"/>
  <c r="F41" i="1" s="1"/>
  <c r="F42" i="1" s="1"/>
  <c r="F43" i="1" s="1"/>
  <c r="D6" i="1"/>
  <c r="D7" i="1" s="1"/>
  <c r="B6" i="1"/>
  <c r="B36" i="1"/>
  <c r="C8" i="1"/>
  <c r="C35" i="1"/>
  <c r="E41" i="1"/>
  <c r="E42" i="1"/>
  <c r="E43" i="1"/>
  <c r="G6" i="1"/>
  <c r="E6" i="1"/>
  <c r="C6" i="1"/>
  <c r="C41" i="1" s="1"/>
  <c r="C42" i="1" s="1"/>
  <c r="C43" i="1" s="1"/>
  <c r="E8" i="1"/>
  <c r="I15" i="1"/>
  <c r="I13" i="1"/>
  <c r="I12" i="1"/>
  <c r="I10" i="1"/>
  <c r="G33" i="1"/>
  <c r="E33" i="1"/>
  <c r="C33" i="1"/>
  <c r="G31" i="1"/>
  <c r="G37" i="1"/>
  <c r="C37" i="1"/>
  <c r="D37" i="1"/>
  <c r="D31" i="1"/>
  <c r="E31" i="1"/>
  <c r="F31" i="1"/>
  <c r="F37" i="1" s="1"/>
  <c r="C31" i="1"/>
  <c r="G23" i="1"/>
  <c r="E23" i="1"/>
  <c r="C23" i="1"/>
  <c r="G35" i="1"/>
  <c r="E35" i="1"/>
  <c r="R59" i="4" l="1"/>
  <c r="Q23" i="4"/>
  <c r="R23" i="4" s="1"/>
  <c r="R4" i="4"/>
  <c r="F65" i="4"/>
  <c r="Q46" i="4"/>
  <c r="R46" i="4" s="1"/>
  <c r="Q64" i="4"/>
  <c r="R64" i="4" s="1"/>
  <c r="G23" i="4"/>
  <c r="G65" i="4" s="1"/>
  <c r="E23" i="4"/>
  <c r="E65" i="4" s="1"/>
  <c r="R33" i="4"/>
  <c r="R54" i="4"/>
  <c r="R60" i="4"/>
  <c r="Q61" i="4"/>
  <c r="R61" i="4" s="1"/>
  <c r="Q24" i="4"/>
  <c r="D41" i="1"/>
  <c r="D42" i="1" s="1"/>
  <c r="D43" i="1" s="1"/>
  <c r="C7" i="1"/>
  <c r="E37" i="1"/>
  <c r="Q32" i="4" l="1"/>
  <c r="R32" i="4" s="1"/>
  <c r="R24" i="4"/>
  <c r="Q65" i="4"/>
  <c r="R65" i="4" s="1"/>
  <c r="F5" i="1" l="1"/>
  <c r="D5" i="1"/>
  <c r="B5" i="1"/>
  <c r="I5" i="1"/>
  <c r="I9" i="1" l="1"/>
  <c r="I8" i="1"/>
  <c r="I6" i="1"/>
  <c r="H6" i="1"/>
  <c r="H8" i="1"/>
  <c r="H9" i="1"/>
  <c r="H10" i="1"/>
  <c r="H12" i="1"/>
  <c r="H13" i="1"/>
  <c r="H15" i="1"/>
  <c r="H5" i="1"/>
  <c r="K5" i="1" s="1"/>
  <c r="L5" i="1" s="1"/>
  <c r="B7" i="1"/>
  <c r="B11" i="1" s="1"/>
  <c r="F7" i="1"/>
  <c r="F11" i="1" s="1"/>
  <c r="F14" i="1" s="1"/>
  <c r="F16" i="1" s="1"/>
  <c r="C11" i="1"/>
  <c r="E11" i="1"/>
  <c r="E14" i="1" s="1"/>
  <c r="E16" i="1" s="1"/>
  <c r="G11" i="1"/>
  <c r="G14" i="1" s="1"/>
  <c r="G16" i="1" s="1"/>
  <c r="D14" i="1"/>
  <c r="D16" i="1" s="1"/>
  <c r="C14" i="1" l="1"/>
  <c r="I11" i="1"/>
  <c r="H7" i="1"/>
  <c r="B14" i="1"/>
  <c r="H11" i="1"/>
  <c r="F15" i="3"/>
  <c r="H6" i="3"/>
  <c r="H10" i="3" s="1"/>
  <c r="H13" i="3" s="1"/>
  <c r="H15" i="3" s="1"/>
  <c r="G6" i="3"/>
  <c r="G10" i="3" s="1"/>
  <c r="G13" i="3" s="1"/>
  <c r="G15" i="3" s="1"/>
  <c r="F6" i="3"/>
  <c r="F10" i="3" s="1"/>
  <c r="E6" i="3"/>
  <c r="E10" i="3" s="1"/>
  <c r="E13" i="3" s="1"/>
  <c r="E15" i="3" s="1"/>
  <c r="D6" i="3"/>
  <c r="D10" i="3" s="1"/>
  <c r="D13" i="3" s="1"/>
  <c r="D15" i="3" s="1"/>
  <c r="C6" i="3"/>
  <c r="C10" i="3" s="1"/>
  <c r="C13" i="3" s="1"/>
  <c r="C15" i="3" s="1"/>
  <c r="G14" i="2"/>
  <c r="F14" i="2"/>
  <c r="B14" i="2"/>
  <c r="G13" i="2"/>
  <c r="F13" i="2"/>
  <c r="D12" i="2"/>
  <c r="D15" i="2" s="1"/>
  <c r="D17" i="2" s="1"/>
  <c r="G11" i="2"/>
  <c r="G9" i="2"/>
  <c r="F9" i="2"/>
  <c r="B9" i="2"/>
  <c r="E8" i="2"/>
  <c r="E12" i="2" s="1"/>
  <c r="E15" i="2" s="1"/>
  <c r="E17" i="2" s="1"/>
  <c r="C8" i="2"/>
  <c r="C12" i="2" s="1"/>
  <c r="C15" i="2" s="1"/>
  <c r="C17" i="2" s="1"/>
  <c r="G7" i="2"/>
  <c r="F7" i="2"/>
  <c r="G6" i="2"/>
  <c r="F6" i="2"/>
  <c r="B6" i="2"/>
  <c r="B8" i="2" s="1"/>
  <c r="B12" i="2" s="1"/>
  <c r="T17" i="1"/>
  <c r="C16" i="1" l="1"/>
  <c r="I16" i="1" s="1"/>
  <c r="I14" i="1"/>
  <c r="G8" i="2"/>
  <c r="B16" i="1"/>
  <c r="H16" i="1" s="1"/>
  <c r="H14" i="1"/>
  <c r="G12" i="2"/>
  <c r="G15" i="2" s="1"/>
  <c r="G17" i="2" s="1"/>
  <c r="B15" i="2"/>
  <c r="B17" i="2" s="1"/>
  <c r="F8" i="2"/>
  <c r="F12" i="2" s="1"/>
  <c r="F15" i="2" s="1"/>
  <c r="F17" i="2" s="1"/>
</calcChain>
</file>

<file path=xl/sharedStrings.xml><?xml version="1.0" encoding="utf-8"?>
<sst xmlns="http://schemas.openxmlformats.org/spreadsheetml/2006/main" count="173" uniqueCount="144">
  <si>
    <t xml:space="preserve"> شركت توسعه سرمایه گذاری قدر</t>
  </si>
  <si>
    <t>شــــــــــــــــــــرح</t>
  </si>
  <si>
    <t>درآمد حاصل از ارائه خدمات</t>
  </si>
  <si>
    <t>بهای تمام شده خدمات ارائه شده</t>
  </si>
  <si>
    <t xml:space="preserve">سود (زيان) ناخالص </t>
  </si>
  <si>
    <t>هزينه هاي اداري عمومي</t>
  </si>
  <si>
    <t>هزينه توزيع وفروش</t>
  </si>
  <si>
    <t>خالص ساير درآمد ها و(هزينه هاي) عملياتي</t>
  </si>
  <si>
    <t>سود (زيان)عملياتي</t>
  </si>
  <si>
    <t xml:space="preserve">هزينه هاي مالي </t>
  </si>
  <si>
    <t>خالص درآمدها و (هزينه هاي)غير عملياتي</t>
  </si>
  <si>
    <t xml:space="preserve">سود(زيان) قبل از کسر ماليات </t>
  </si>
  <si>
    <t>ماليات</t>
  </si>
  <si>
    <t xml:space="preserve">سود (زيان)خالص </t>
  </si>
  <si>
    <r>
      <rPr>
        <b/>
        <sz val="16"/>
        <color rgb="FFFF0000"/>
        <rFont val="B Titr"/>
        <charset val="178"/>
      </rPr>
      <t xml:space="preserve">صورت سود (زيان) بودجه  </t>
    </r>
    <r>
      <rPr>
        <b/>
        <sz val="16"/>
        <rFont val="B Titr"/>
        <charset val="178"/>
      </rPr>
      <t>سال1395</t>
    </r>
  </si>
  <si>
    <t xml:space="preserve">عملكرد سال قبل(1393) </t>
  </si>
  <si>
    <t>عملکرد  سال 94</t>
  </si>
  <si>
    <t>عملکرد برآورد سال 1395</t>
  </si>
  <si>
    <t>سال 1395</t>
  </si>
  <si>
    <t xml:space="preserve">عملکرد 9ماهه </t>
  </si>
  <si>
    <t>برآورد 3ماهه آخر سال</t>
  </si>
  <si>
    <t>جمع</t>
  </si>
  <si>
    <t>درآمد حاصل ازسرمایه گذاری ها</t>
  </si>
  <si>
    <t>بهای تمام شده سرمایه گذاری ها</t>
  </si>
  <si>
    <t>برنامه وعملکرددی 95شرکت توسعه سرمایه گذاری قدر</t>
  </si>
  <si>
    <t>برنامه دی 94</t>
  </si>
  <si>
    <t>عملکرددی 94</t>
  </si>
  <si>
    <t>برنامه دی 95</t>
  </si>
  <si>
    <t>عملکرددی 95</t>
  </si>
  <si>
    <t>برنامه 10ماهه 95</t>
  </si>
  <si>
    <t>عملکرد10ماهه 95</t>
  </si>
  <si>
    <t xml:space="preserve">علت انحراف </t>
  </si>
  <si>
    <t>شـــــــرح</t>
  </si>
  <si>
    <t>برنامه ماه 1 سال 1401</t>
  </si>
  <si>
    <t>عملکرد ماه 1 سال1401</t>
  </si>
  <si>
    <t>برنامه ماه 2 سال 1401</t>
  </si>
  <si>
    <t>عملکرد ماه 2 سال 1401</t>
  </si>
  <si>
    <t>برنامه ماه 3 سال 1401</t>
  </si>
  <si>
    <t>عملکرد ماه 3 سال 1401</t>
  </si>
  <si>
    <t>برنامه تجمعی 3 ماهه1401</t>
  </si>
  <si>
    <t>عملکرد تجمعی 3 ماهه 1401</t>
  </si>
  <si>
    <t>برنامه و عملکرد مالی سال 1401 ارائه شده در سامانه پایش بنیاد</t>
  </si>
  <si>
    <t>پروژه اما حسن مجتبی (ع)</t>
  </si>
  <si>
    <t>جمع اداره سازمان</t>
  </si>
  <si>
    <t>جمع هزینه اداره سازمان</t>
  </si>
  <si>
    <t>استهلاک</t>
  </si>
  <si>
    <t>جمع حقوق</t>
  </si>
  <si>
    <t>سایر هزینه ها</t>
  </si>
  <si>
    <t>گزارش عملکرد 3ماهه سال 1401</t>
  </si>
  <si>
    <t>رديف</t>
  </si>
  <si>
    <t>برنامه</t>
  </si>
  <si>
    <t>فعالیت</t>
  </si>
  <si>
    <r>
      <t xml:space="preserve">بودجه مصوب
</t>
    </r>
    <r>
      <rPr>
        <b/>
        <sz val="12"/>
        <rFont val="B Mitra"/>
        <charset val="178"/>
      </rPr>
      <t>(ریال)</t>
    </r>
  </si>
  <si>
    <t xml:space="preserve">عملکرد فروردین </t>
  </si>
  <si>
    <t>عملکرد اردیبهشت</t>
  </si>
  <si>
    <t>عملکرد خرداد</t>
  </si>
  <si>
    <t>عملکرد تیر</t>
  </si>
  <si>
    <t>عملکرد مرداد</t>
  </si>
  <si>
    <t>عملکرد شهریور</t>
  </si>
  <si>
    <t>عملکرد مهر</t>
  </si>
  <si>
    <t>عملکرد آبان</t>
  </si>
  <si>
    <t>عملکرد آذر</t>
  </si>
  <si>
    <t>عملکرد دی</t>
  </si>
  <si>
    <t>عملکرد بهمن</t>
  </si>
  <si>
    <t>عملکرد اسفند</t>
  </si>
  <si>
    <t>جمع عملکرد دوازده ماهه</t>
  </si>
  <si>
    <t>درصد عملکرد</t>
  </si>
  <si>
    <t xml:space="preserve">هزینه های جاری اداري </t>
  </si>
  <si>
    <t>آب</t>
  </si>
  <si>
    <t xml:space="preserve">برق </t>
  </si>
  <si>
    <t>گاز</t>
  </si>
  <si>
    <t>تلفن ثابت</t>
  </si>
  <si>
    <t>افزایش رهن ساختمان استان ها</t>
  </si>
  <si>
    <t>بیمه تجهیزات و اماکن</t>
  </si>
  <si>
    <t>بیمه خودرو</t>
  </si>
  <si>
    <t>برگزاری همایش استانی</t>
  </si>
  <si>
    <t>اشتراک نشریات ومجلات</t>
  </si>
  <si>
    <t>حمل و نقل</t>
  </si>
  <si>
    <t>سوخت</t>
  </si>
  <si>
    <t>طرح ترافیک</t>
  </si>
  <si>
    <t>لوازم واقلام مصرفی اداری و لوازم التحریر</t>
  </si>
  <si>
    <t>لوازم و اقلام مصرفی بهداشتی</t>
  </si>
  <si>
    <t>برگزاری یا شرکت در رویدادها</t>
  </si>
  <si>
    <t>تشریفات و پذیرایی</t>
  </si>
  <si>
    <t xml:space="preserve"> مالیات  و بیمه غیر مترقبه و جرایم احتمالی</t>
  </si>
  <si>
    <t>حسابرسی مالی و بازرسی</t>
  </si>
  <si>
    <t>کمیسیون در آمد ها</t>
  </si>
  <si>
    <t>هزینه های تعمیر و نگهداری</t>
  </si>
  <si>
    <t>تعمیرات و نگهداری ساختمان</t>
  </si>
  <si>
    <t>نگهداری موتور خانه وتاسیسات</t>
  </si>
  <si>
    <t>عوارض شهرداری ونوسازی</t>
  </si>
  <si>
    <t>قرارداد نگهداری آسانسور و تجهیزات</t>
  </si>
  <si>
    <t>شارژ کپسولهای اتش نشانی</t>
  </si>
  <si>
    <t>خرید تجهیزات اداری</t>
  </si>
  <si>
    <t>تعمیر ونگهداری تجهیزات اداری</t>
  </si>
  <si>
    <t>تعمیرات خودرو</t>
  </si>
  <si>
    <t>هزینه های نیروی انسانی</t>
  </si>
  <si>
    <t>حقوق دستمزد بیمه ای وتمام وقت</t>
  </si>
  <si>
    <t>بیمه حق کار فرما</t>
  </si>
  <si>
    <t>هزینه های اضافه کار</t>
  </si>
  <si>
    <t>ماموریت داخلی</t>
  </si>
  <si>
    <t>ماموریت خارجی</t>
  </si>
  <si>
    <t>حق التحریر استانها</t>
  </si>
  <si>
    <t>حق التحریر فارس پلاس، کاریکاتور و ...</t>
  </si>
  <si>
    <t>حق التصویر تهران</t>
  </si>
  <si>
    <t>حق التصویر شهرستان</t>
  </si>
  <si>
    <t xml:space="preserve"> باز خرید سنوات</t>
  </si>
  <si>
    <t xml:space="preserve"> باز خرید مانده مرخصی</t>
  </si>
  <si>
    <t>پاداش پایان سال</t>
  </si>
  <si>
    <t>تغذیه</t>
  </si>
  <si>
    <t>هزینه های خدمات رفاهی</t>
  </si>
  <si>
    <t>بیمه تکمیلی</t>
  </si>
  <si>
    <t>خدمات رفاهی سالیانه</t>
  </si>
  <si>
    <t>هدیه تولد</t>
  </si>
  <si>
    <t>هدیه ازدواج</t>
  </si>
  <si>
    <t>کمک هزینه فوت</t>
  </si>
  <si>
    <t>تشویق کارکنان</t>
  </si>
  <si>
    <t>فعالیت های آموزشی و پژوهشی</t>
  </si>
  <si>
    <t>حق التدریس اساتید</t>
  </si>
  <si>
    <t>اساتید دوره های آزاد</t>
  </si>
  <si>
    <t>ساخت مستند</t>
  </si>
  <si>
    <t>چاپ کتاب</t>
  </si>
  <si>
    <t>چاپ بولتن</t>
  </si>
  <si>
    <t>هزینه های جاری و تجهیز فناوری اطلاعات</t>
  </si>
  <si>
    <t xml:space="preserve">نرم افزار </t>
  </si>
  <si>
    <t>نگهداری و سرویس</t>
  </si>
  <si>
    <t>اجاره سرورترکیه</t>
  </si>
  <si>
    <t>تجهیزات جاری و پشتیبانی فناوری</t>
  </si>
  <si>
    <t>درآمد</t>
  </si>
  <si>
    <t>دریافت بودجه از بنیاد</t>
  </si>
  <si>
    <t xml:space="preserve">ترافیک </t>
  </si>
  <si>
    <t>فیبر</t>
  </si>
  <si>
    <t>دیتاسنتر</t>
  </si>
  <si>
    <t>افکارسنجی</t>
  </si>
  <si>
    <t>تبلیغات کلیکی</t>
  </si>
  <si>
    <t>بازرگانی</t>
  </si>
  <si>
    <t>تولید محتوا</t>
  </si>
  <si>
    <t>آموزش</t>
  </si>
  <si>
    <t>سایر</t>
  </si>
  <si>
    <t>جمع درآمدها</t>
  </si>
  <si>
    <t>پروژه ها</t>
  </si>
  <si>
    <t>مبلغ تخصیص یافته تاکنون</t>
  </si>
  <si>
    <t>بودجه پیش بینی شده</t>
  </si>
  <si>
    <t>نوسازی دیتا سنتر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</si>
</sst>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_-* #,##0.00\-;_-* &quot;-&quot;??_-;_-@_-"/>
    <numFmt numFmtId="164" formatCode="#,##0;\(#,##0\)"/>
    <numFmt numFmtId="165" formatCode="0.0%"/>
    <numFmt numFmtId="166" formatCode="#,##0_-;\(#,##0\)"/>
    <numFmt numFmtId="168" formatCode="_-* #,##0_-;_-* #,##0\-;_-* &quot;-&quot;??_-;_-@_-"/>
    <numFmt numFmtId="169" formatCode="0.000000"/>
    <numFmt numFmtId="173" formatCode="_-* #,##0_-;_-* #,##0\-;_-* &quot;-&quot;??_-;_-@"/>
    <numFmt numFmtId="174" formatCode="_(* #,##0.00_);_(* \(#,##0.00\);_(* &quot;-&quot;??_);_(@_)"/>
  </numFmts>
  <fonts count="7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0"/>
      <name val="Arial"/>
      <family val="2"/>
    </font>
    <font>
      <b/>
      <sz val="9"/>
      <name val="B Titr"/>
      <charset val="178"/>
    </font>
    <font>
      <sz val="9"/>
      <name val="Zar"/>
      <charset val="178"/>
    </font>
    <font>
      <sz val="9"/>
      <name val="B Titr"/>
      <charset val="178"/>
    </font>
    <font>
      <sz val="9"/>
      <name val="B Zar"/>
      <charset val="178"/>
    </font>
    <font>
      <sz val="10"/>
      <name val="Arial (Arabic)"/>
      <charset val="178"/>
    </font>
    <font>
      <sz val="9"/>
      <name val="Arial"/>
      <family val="2"/>
    </font>
    <font>
      <b/>
      <sz val="16"/>
      <name val="B Titr"/>
      <charset val="178"/>
    </font>
    <font>
      <sz val="14"/>
      <name val="Zar"/>
      <charset val="178"/>
    </font>
    <font>
      <b/>
      <sz val="16"/>
      <color rgb="FFFF0000"/>
      <name val="B Titr"/>
      <charset val="178"/>
    </font>
    <font>
      <sz val="12"/>
      <name val="B Titr"/>
      <charset val="178"/>
    </font>
    <font>
      <sz val="11"/>
      <name val="B Titr"/>
      <charset val="178"/>
    </font>
    <font>
      <b/>
      <sz val="12"/>
      <name val="B Titr"/>
      <charset val="178"/>
    </font>
    <font>
      <b/>
      <sz val="14"/>
      <name val="B Titr"/>
      <charset val="178"/>
    </font>
    <font>
      <sz val="12"/>
      <name val="B Zar"/>
      <charset val="178"/>
    </font>
    <font>
      <b/>
      <sz val="11"/>
      <name val="B Titr"/>
      <charset val="178"/>
    </font>
    <font>
      <sz val="14"/>
      <name val="B Titr"/>
      <charset val="178"/>
    </font>
    <font>
      <b/>
      <sz val="14"/>
      <name val="B Zar"/>
      <charset val="178"/>
    </font>
    <font>
      <b/>
      <sz val="16"/>
      <name val="B Zar"/>
      <charset val="178"/>
    </font>
    <font>
      <sz val="12"/>
      <name val="Arial"/>
      <family val="2"/>
    </font>
    <font>
      <sz val="12"/>
      <name val="2  Zar"/>
      <charset val="178"/>
    </font>
    <font>
      <sz val="11"/>
      <color theme="1"/>
      <name val="Arial"/>
      <family val="2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rgb="FF000000"/>
      <name val="Nazanin"/>
      <charset val="178"/>
    </font>
    <font>
      <b/>
      <sz val="24"/>
      <color rgb="FF000000"/>
      <name val="B Mitra"/>
      <charset val="178"/>
    </font>
    <font>
      <b/>
      <sz val="16"/>
      <name val="B Mitra"/>
      <charset val="178"/>
    </font>
    <font>
      <b/>
      <sz val="12"/>
      <name val="B Mitra"/>
      <charset val="178"/>
    </font>
    <font>
      <b/>
      <sz val="16"/>
      <color rgb="FF000000"/>
      <name val="B Mitra"/>
      <charset val="178"/>
    </font>
    <font>
      <b/>
      <sz val="14"/>
      <name val="B Mitra"/>
      <charset val="178"/>
    </font>
    <font>
      <b/>
      <sz val="18"/>
      <name val="B Nazanin"/>
      <charset val="178"/>
    </font>
    <font>
      <b/>
      <sz val="14"/>
      <name val="B Nazanin"/>
      <charset val="178"/>
    </font>
    <font>
      <sz val="12"/>
      <name val="Nazanin"/>
      <charset val="178"/>
    </font>
    <font>
      <b/>
      <sz val="18"/>
      <name val="B Mitra"/>
      <charset val="178"/>
    </font>
    <font>
      <b/>
      <sz val="18"/>
      <color rgb="FF000000"/>
      <name val="B Mitra"/>
      <charset val="178"/>
    </font>
    <font>
      <b/>
      <sz val="20"/>
      <color rgb="FF000000"/>
      <name val="B Mitra"/>
      <charset val="178"/>
    </font>
    <font>
      <b/>
      <sz val="20"/>
      <name val="B Mitra"/>
      <charset val="178"/>
    </font>
    <font>
      <sz val="12"/>
      <name val="B Mitra"/>
      <charset val="178"/>
    </font>
    <font>
      <b/>
      <sz val="48"/>
      <name val="B Zar"/>
      <charset val="178"/>
    </font>
    <font>
      <sz val="20"/>
      <color theme="1"/>
      <name val="B Mitra"/>
      <charset val="178"/>
    </font>
    <font>
      <b/>
      <sz val="20"/>
      <name val="B Nazanin"/>
      <charset val="178"/>
    </font>
    <font>
      <b/>
      <sz val="24"/>
      <color theme="1"/>
      <name val="B Mitra"/>
      <charset val="178"/>
    </font>
    <font>
      <sz val="12"/>
      <color rgb="FF000000"/>
      <name val="B Mitra"/>
      <charset val="178"/>
    </font>
    <font>
      <b/>
      <sz val="12"/>
      <color rgb="FF000000"/>
      <name val="B Mitra"/>
      <charset val="178"/>
    </font>
    <font>
      <sz val="11"/>
      <color theme="0"/>
      <name val="Arial"/>
      <family val="2"/>
      <scheme val="minor"/>
    </font>
    <font>
      <sz val="11"/>
      <color rgb="FF9C0006"/>
      <name val="Arial"/>
      <family val="2"/>
      <scheme val="minor"/>
    </font>
    <font>
      <b/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i/>
      <sz val="11"/>
      <color rgb="FF7F7F7F"/>
      <name val="Arial"/>
      <family val="2"/>
      <scheme val="minor"/>
    </font>
    <font>
      <sz val="11"/>
      <color rgb="FF0061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3F3F76"/>
      <name val="Arial"/>
      <family val="2"/>
      <scheme val="minor"/>
    </font>
    <font>
      <sz val="11"/>
      <color rgb="FFFA7D00"/>
      <name val="Arial"/>
      <family val="2"/>
      <scheme val="minor"/>
    </font>
    <font>
      <sz val="11"/>
      <color rgb="FF9C6500"/>
      <name val="Arial"/>
      <family val="2"/>
      <scheme val="minor"/>
    </font>
    <font>
      <sz val="9"/>
      <color indexed="8"/>
      <name val="Tahoma"/>
      <family val="2"/>
    </font>
    <font>
      <sz val="9"/>
      <color indexed="8"/>
      <name val="Tahoma"/>
    </font>
    <font>
      <b/>
      <sz val="11"/>
      <color rgb="FF3F3F3F"/>
      <name val="Arial"/>
      <family val="2"/>
      <scheme val="minor"/>
    </font>
    <font>
      <sz val="18"/>
      <color theme="3"/>
      <name val="Times New Roman"/>
      <family val="2"/>
      <charset val="178"/>
      <scheme val="major"/>
    </font>
    <font>
      <sz val="18"/>
      <color theme="3"/>
      <name val="Times New Roman"/>
      <family val="2"/>
      <scheme val="major"/>
    </font>
    <font>
      <b/>
      <sz val="11"/>
      <color theme="1"/>
      <name val="Arial"/>
      <family val="2"/>
      <scheme val="minor"/>
    </font>
    <font>
      <sz val="11"/>
      <color rgb="FFFF0000"/>
      <name val="Arial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rgb="FFC2D69B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249977111117893"/>
        <bgColor rgb="FFFBD4B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rgb="FFFBD4B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rgb="FFFBD4B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rgb="FFFBD4B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rgb="FFFBD4B4"/>
      </patternFill>
    </fill>
    <fill>
      <patternFill patternType="solid">
        <fgColor theme="6" tint="0.79998168889431442"/>
        <bgColor rgb="FFFBD4B4"/>
      </patternFill>
    </fill>
    <fill>
      <patternFill patternType="solid">
        <fgColor rgb="FFFFC000"/>
        <bgColor rgb="FFFBD4B4"/>
      </patternFill>
    </fill>
    <fill>
      <patternFill patternType="solid">
        <fgColor rgb="FFFFC000"/>
        <bgColor indexed="64"/>
      </patternFill>
    </fill>
    <fill>
      <patternFill patternType="solid">
        <fgColor rgb="FF15B00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theme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25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2" fillId="0" borderId="0"/>
    <xf numFmtId="0" fontId="8" fillId="0" borderId="0"/>
    <xf numFmtId="0" fontId="3" fillId="0" borderId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32" fillId="0" borderId="0"/>
    <xf numFmtId="0" fontId="1" fillId="0" borderId="0"/>
    <xf numFmtId="9" fontId="32" fillId="0" borderId="0" applyFont="0" applyFill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31" fillId="16" borderId="0" applyNumberFormat="0" applyBorder="0" applyAlignment="0" applyProtection="0"/>
    <xf numFmtId="0" fontId="52" fillId="16" borderId="0" applyNumberFormat="0" applyBorder="0" applyAlignment="0" applyProtection="0"/>
    <xf numFmtId="0" fontId="31" fillId="20" borderId="0" applyNumberFormat="0" applyBorder="0" applyAlignment="0" applyProtection="0"/>
    <xf numFmtId="0" fontId="52" fillId="20" borderId="0" applyNumberFormat="0" applyBorder="0" applyAlignment="0" applyProtection="0"/>
    <xf numFmtId="0" fontId="31" fillId="24" borderId="0" applyNumberFormat="0" applyBorder="0" applyAlignment="0" applyProtection="0"/>
    <xf numFmtId="0" fontId="52" fillId="24" borderId="0" applyNumberFormat="0" applyBorder="0" applyAlignment="0" applyProtection="0"/>
    <xf numFmtId="0" fontId="31" fillId="28" borderId="0" applyNumberFormat="0" applyBorder="0" applyAlignment="0" applyProtection="0"/>
    <xf numFmtId="0" fontId="52" fillId="28" borderId="0" applyNumberFormat="0" applyBorder="0" applyAlignment="0" applyProtection="0"/>
    <xf numFmtId="0" fontId="31" fillId="32" borderId="0" applyNumberFormat="0" applyBorder="0" applyAlignment="0" applyProtection="0"/>
    <xf numFmtId="0" fontId="52" fillId="32" borderId="0" applyNumberFormat="0" applyBorder="0" applyAlignment="0" applyProtection="0"/>
    <xf numFmtId="0" fontId="31" fillId="36" borderId="0" applyNumberFormat="0" applyBorder="0" applyAlignment="0" applyProtection="0"/>
    <xf numFmtId="0" fontId="52" fillId="36" borderId="0" applyNumberFormat="0" applyBorder="0" applyAlignment="0" applyProtection="0"/>
    <xf numFmtId="0" fontId="31" fillId="13" borderId="0" applyNumberFormat="0" applyBorder="0" applyAlignment="0" applyProtection="0"/>
    <xf numFmtId="0" fontId="52" fillId="13" borderId="0" applyNumberFormat="0" applyBorder="0" applyAlignment="0" applyProtection="0"/>
    <xf numFmtId="0" fontId="31" fillId="17" borderId="0" applyNumberFormat="0" applyBorder="0" applyAlignment="0" applyProtection="0"/>
    <xf numFmtId="0" fontId="52" fillId="17" borderId="0" applyNumberFormat="0" applyBorder="0" applyAlignment="0" applyProtection="0"/>
    <xf numFmtId="0" fontId="31" fillId="21" borderId="0" applyNumberFormat="0" applyBorder="0" applyAlignment="0" applyProtection="0"/>
    <xf numFmtId="0" fontId="52" fillId="21" borderId="0" applyNumberFormat="0" applyBorder="0" applyAlignment="0" applyProtection="0"/>
    <xf numFmtId="0" fontId="31" fillId="25" borderId="0" applyNumberFormat="0" applyBorder="0" applyAlignment="0" applyProtection="0"/>
    <xf numFmtId="0" fontId="52" fillId="25" borderId="0" applyNumberFormat="0" applyBorder="0" applyAlignment="0" applyProtection="0"/>
    <xf numFmtId="0" fontId="31" fillId="29" borderId="0" applyNumberFormat="0" applyBorder="0" applyAlignment="0" applyProtection="0"/>
    <xf numFmtId="0" fontId="52" fillId="29" borderId="0" applyNumberFormat="0" applyBorder="0" applyAlignment="0" applyProtection="0"/>
    <xf numFmtId="0" fontId="31" fillId="33" borderId="0" applyNumberFormat="0" applyBorder="0" applyAlignment="0" applyProtection="0"/>
    <xf numFmtId="0" fontId="52" fillId="33" borderId="0" applyNumberFormat="0" applyBorder="0" applyAlignment="0" applyProtection="0"/>
    <xf numFmtId="0" fontId="27" fillId="7" borderId="0" applyNumberFormat="0" applyBorder="0" applyAlignment="0" applyProtection="0"/>
    <xf numFmtId="0" fontId="53" fillId="7" borderId="0" applyNumberFormat="0" applyBorder="0" applyAlignment="0" applyProtection="0"/>
    <xf numFmtId="0" fontId="54" fillId="10" borderId="25" applyNumberFormat="0" applyAlignment="0" applyProtection="0"/>
    <xf numFmtId="0" fontId="55" fillId="11" borderId="28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24" fillId="0" borderId="0" applyFont="0" applyFill="0" applyBorder="0" applyAlignment="0" applyProtection="0"/>
    <xf numFmtId="174" fontId="24" fillId="0" borderId="0" applyFont="0" applyFill="0" applyBorder="0" applyAlignment="0" applyProtection="0"/>
    <xf numFmtId="174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57" fillId="6" borderId="0" applyNumberFormat="0" applyBorder="0" applyAlignment="0" applyProtection="0"/>
    <xf numFmtId="0" fontId="58" fillId="0" borderId="22" applyNumberFormat="0" applyFill="0" applyAlignment="0" applyProtection="0"/>
    <xf numFmtId="0" fontId="59" fillId="0" borderId="23" applyNumberFormat="0" applyFill="0" applyAlignment="0" applyProtection="0"/>
    <xf numFmtId="0" fontId="60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9" borderId="25" applyNumberFormat="0" applyAlignment="0" applyProtection="0"/>
    <xf numFmtId="0" fontId="62" fillId="0" borderId="27" applyNumberFormat="0" applyFill="0" applyAlignment="0" applyProtection="0"/>
    <xf numFmtId="0" fontId="28" fillId="8" borderId="0" applyNumberFormat="0" applyBorder="0" applyAlignment="0" applyProtection="0"/>
    <xf numFmtId="0" fontId="63" fillId="8" borderId="0" applyNumberFormat="0" applyBorder="0" applyAlignment="0" applyProtection="0"/>
    <xf numFmtId="0" fontId="64" fillId="0" borderId="0"/>
    <xf numFmtId="0" fontId="1" fillId="0" borderId="0"/>
    <xf numFmtId="0" fontId="64" fillId="0" borderId="0"/>
    <xf numFmtId="0" fontId="1" fillId="0" borderId="0"/>
    <xf numFmtId="0" fontId="65" fillId="0" borderId="0"/>
    <xf numFmtId="0" fontId="24" fillId="12" borderId="29" applyNumberFormat="0" applyFont="0" applyAlignment="0" applyProtection="0"/>
    <xf numFmtId="0" fontId="24" fillId="12" borderId="29" applyNumberFormat="0" applyFont="0" applyAlignment="0" applyProtection="0"/>
    <xf numFmtId="0" fontId="24" fillId="12" borderId="29" applyNumberFormat="0" applyFont="0" applyAlignment="0" applyProtection="0"/>
    <xf numFmtId="0" fontId="24" fillId="12" borderId="29" applyNumberFormat="0" applyFont="0" applyAlignment="0" applyProtection="0"/>
    <xf numFmtId="0" fontId="1" fillId="12" borderId="29" applyNumberFormat="0" applyFont="0" applyAlignment="0" applyProtection="0"/>
    <xf numFmtId="0" fontId="1" fillId="12" borderId="29" applyNumberFormat="0" applyFont="0" applyAlignment="0" applyProtection="0"/>
    <xf numFmtId="0" fontId="1" fillId="12" borderId="29" applyNumberFormat="0" applyFont="0" applyAlignment="0" applyProtection="0"/>
    <xf numFmtId="0" fontId="1" fillId="12" borderId="29" applyNumberFormat="0" applyFont="0" applyAlignment="0" applyProtection="0"/>
    <xf numFmtId="0" fontId="1" fillId="12" borderId="29" applyNumberFormat="0" applyFont="0" applyAlignment="0" applyProtection="0"/>
    <xf numFmtId="0" fontId="1" fillId="12" borderId="29" applyNumberFormat="0" applyFont="0" applyAlignment="0" applyProtection="0"/>
    <xf numFmtId="0" fontId="24" fillId="12" borderId="29" applyNumberFormat="0" applyFont="0" applyAlignment="0" applyProtection="0"/>
    <xf numFmtId="0" fontId="24" fillId="12" borderId="29" applyNumberFormat="0" applyFont="0" applyAlignment="0" applyProtection="0"/>
    <xf numFmtId="0" fontId="66" fillId="10" borderId="26" applyNumberFormat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30" applyNumberFormat="0" applyFill="0" applyAlignment="0" applyProtection="0"/>
    <xf numFmtId="0" fontId="29" fillId="0" borderId="0" applyNumberFormat="0" applyFill="0" applyBorder="0" applyAlignment="0" applyProtection="0"/>
    <xf numFmtId="0" fontId="70" fillId="0" borderId="0" applyNumberFormat="0" applyFill="0" applyBorder="0" applyAlignment="0" applyProtection="0"/>
  </cellStyleXfs>
  <cellXfs count="205">
    <xf numFmtId="0" fontId="0" fillId="0" borderId="0" xfId="0"/>
    <xf numFmtId="0" fontId="4" fillId="0" borderId="0" xfId="1" applyFont="1" applyAlignment="1">
      <alignment vertical="center" readingOrder="2"/>
    </xf>
    <xf numFmtId="0" fontId="4" fillId="0" borderId="0" xfId="1" applyFont="1" applyAlignment="1">
      <alignment horizontal="center" vertical="center" readingOrder="2"/>
    </xf>
    <xf numFmtId="0" fontId="5" fillId="0" borderId="0" xfId="1" applyFont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6" fillId="0" borderId="7" xfId="1" applyFont="1" applyFill="1" applyBorder="1" applyAlignment="1">
      <alignment horizontal="center" vertical="center" wrapText="1" readingOrder="2"/>
    </xf>
    <xf numFmtId="164" fontId="6" fillId="0" borderId="4" xfId="1" applyNumberFormat="1" applyFont="1" applyFill="1" applyBorder="1" applyAlignment="1">
      <alignment horizontal="center" vertical="center" wrapText="1" readingOrder="2"/>
    </xf>
    <xf numFmtId="164" fontId="6" fillId="4" borderId="4" xfId="1" applyNumberFormat="1" applyFont="1" applyFill="1" applyBorder="1" applyAlignment="1">
      <alignment horizontal="center" vertical="center" wrapText="1" readingOrder="2"/>
    </xf>
    <xf numFmtId="164" fontId="6" fillId="4" borderId="6" xfId="1" applyNumberFormat="1" applyFont="1" applyFill="1" applyBorder="1" applyAlignment="1">
      <alignment horizontal="center" vertical="center" wrapText="1" readingOrder="2"/>
    </xf>
    <xf numFmtId="164" fontId="6" fillId="0" borderId="0" xfId="1" applyNumberFormat="1" applyFont="1" applyFill="1" applyBorder="1" applyAlignment="1">
      <alignment horizontal="center" vertical="center" wrapText="1" readingOrder="2"/>
    </xf>
    <xf numFmtId="165" fontId="6" fillId="0" borderId="0" xfId="1" applyNumberFormat="1" applyFont="1" applyFill="1" applyBorder="1" applyAlignment="1">
      <alignment vertical="center"/>
    </xf>
    <xf numFmtId="164" fontId="6" fillId="0" borderId="12" xfId="1" applyNumberFormat="1" applyFont="1" applyFill="1" applyBorder="1" applyAlignment="1">
      <alignment horizontal="center" vertical="center" wrapText="1" readingOrder="2"/>
    </xf>
    <xf numFmtId="164" fontId="6" fillId="0" borderId="13" xfId="1" applyNumberFormat="1" applyFont="1" applyFill="1" applyBorder="1" applyAlignment="1">
      <alignment horizontal="center" vertical="center" wrapText="1" readingOrder="2"/>
    </xf>
    <xf numFmtId="3" fontId="6" fillId="3" borderId="0" xfId="1" applyNumberFormat="1" applyFont="1" applyFill="1" applyBorder="1" applyAlignment="1">
      <alignment horizontal="center" vertical="center" wrapText="1" readingOrder="2"/>
    </xf>
    <xf numFmtId="164" fontId="6" fillId="3" borderId="0" xfId="1" applyNumberFormat="1" applyFont="1" applyFill="1" applyBorder="1" applyAlignment="1">
      <alignment horizontal="center" vertical="center" wrapText="1" readingOrder="2"/>
    </xf>
    <xf numFmtId="9" fontId="5" fillId="0" borderId="0" xfId="2" applyNumberFormat="1" applyFont="1" applyAlignment="1">
      <alignment vertical="center"/>
    </xf>
    <xf numFmtId="164" fontId="9" fillId="0" borderId="0" xfId="4" applyNumberFormat="1" applyFont="1" applyAlignment="1">
      <alignment vertical="center" readingOrder="2"/>
    </xf>
    <xf numFmtId="0" fontId="5" fillId="0" borderId="0" xfId="1" applyFont="1" applyAlignment="1">
      <alignment horizontal="right" vertical="center"/>
    </xf>
    <xf numFmtId="0" fontId="11" fillId="0" borderId="0" xfId="1" applyFont="1" applyAlignment="1">
      <alignment vertical="center"/>
    </xf>
    <xf numFmtId="0" fontId="13" fillId="0" borderId="0" xfId="4" applyNumberFormat="1" applyFont="1" applyAlignment="1">
      <alignment horizontal="right" vertical="center" wrapText="1" readingOrder="2"/>
    </xf>
    <xf numFmtId="0" fontId="14" fillId="0" borderId="0" xfId="1" applyFont="1" applyAlignment="1">
      <alignment horizontal="center" vertical="center" readingOrder="2"/>
    </xf>
    <xf numFmtId="0" fontId="17" fillId="0" borderId="0" xfId="1" applyFont="1" applyAlignment="1">
      <alignment vertical="center"/>
    </xf>
    <xf numFmtId="3" fontId="18" fillId="2" borderId="15" xfId="1" applyNumberFormat="1" applyFont="1" applyFill="1" applyBorder="1" applyAlignment="1">
      <alignment horizontal="center" vertical="center" wrapText="1"/>
    </xf>
    <xf numFmtId="0" fontId="19" fillId="5" borderId="4" xfId="1" applyFont="1" applyFill="1" applyBorder="1" applyAlignment="1">
      <alignment horizontal="center" vertical="center" wrapText="1"/>
    </xf>
    <xf numFmtId="164" fontId="19" fillId="0" borderId="4" xfId="1" applyNumberFormat="1" applyFont="1" applyBorder="1" applyAlignment="1">
      <alignment horizontal="center" vertical="center" wrapText="1"/>
    </xf>
    <xf numFmtId="164" fontId="19" fillId="4" borderId="4" xfId="1" applyNumberFormat="1" applyFont="1" applyFill="1" applyBorder="1" applyAlignment="1">
      <alignment horizontal="center" vertical="center" wrapText="1"/>
    </xf>
    <xf numFmtId="164" fontId="19" fillId="0" borderId="4" xfId="1" applyNumberFormat="1" applyFont="1" applyFill="1" applyBorder="1" applyAlignment="1">
      <alignment horizontal="center" vertical="center" wrapText="1"/>
    </xf>
    <xf numFmtId="3" fontId="16" fillId="4" borderId="16" xfId="1" applyNumberFormat="1" applyFont="1" applyFill="1" applyBorder="1" applyAlignment="1">
      <alignment horizontal="center" vertical="center" wrapText="1"/>
    </xf>
    <xf numFmtId="3" fontId="18" fillId="4" borderId="16" xfId="1" applyNumberFormat="1" applyFont="1" applyFill="1" applyBorder="1" applyAlignment="1">
      <alignment horizontal="center" vertical="center" wrapText="1"/>
    </xf>
    <xf numFmtId="3" fontId="18" fillId="4" borderId="4" xfId="1" applyNumberFormat="1" applyFont="1" applyFill="1" applyBorder="1" applyAlignment="1">
      <alignment horizontal="center" vertical="center" wrapText="1"/>
    </xf>
    <xf numFmtId="166" fontId="18" fillId="4" borderId="16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vertical="center"/>
    </xf>
    <xf numFmtId="0" fontId="20" fillId="0" borderId="0" xfId="1" applyFont="1" applyAlignment="1">
      <alignment horizontal="right" vertical="center"/>
    </xf>
    <xf numFmtId="0" fontId="20" fillId="0" borderId="0" xfId="1" applyFont="1" applyAlignment="1">
      <alignment vertical="center"/>
    </xf>
    <xf numFmtId="3" fontId="21" fillId="0" borderId="0" xfId="1" applyNumberFormat="1" applyFont="1" applyAlignment="1">
      <alignment horizontal="center" vertical="center"/>
    </xf>
    <xf numFmtId="164" fontId="21" fillId="0" borderId="0" xfId="1" applyNumberFormat="1" applyFont="1" applyAlignment="1">
      <alignment horizontal="center" vertical="center"/>
    </xf>
    <xf numFmtId="3" fontId="21" fillId="0" borderId="0" xfId="1" applyNumberFormat="1" applyFont="1" applyBorder="1" applyAlignment="1">
      <alignment horizontal="center" vertical="center"/>
    </xf>
    <xf numFmtId="3" fontId="20" fillId="0" borderId="0" xfId="1" applyNumberFormat="1" applyFont="1" applyAlignment="1">
      <alignment horizontal="center" vertical="center"/>
    </xf>
    <xf numFmtId="164" fontId="22" fillId="0" borderId="0" xfId="4" applyNumberFormat="1" applyFont="1" applyAlignment="1">
      <alignment vertical="center" readingOrder="2"/>
    </xf>
    <xf numFmtId="0" fontId="23" fillId="0" borderId="0" xfId="5" applyFont="1" applyFill="1" applyAlignment="1">
      <alignment readingOrder="2"/>
    </xf>
    <xf numFmtId="0" fontId="19" fillId="5" borderId="7" xfId="1" applyFont="1" applyFill="1" applyBorder="1" applyAlignment="1">
      <alignment horizontal="center" vertical="center" wrapText="1"/>
    </xf>
    <xf numFmtId="0" fontId="11" fillId="0" borderId="6" xfId="1" applyFont="1" applyBorder="1" applyAlignment="1">
      <alignment vertical="center"/>
    </xf>
    <xf numFmtId="164" fontId="13" fillId="0" borderId="4" xfId="1" applyNumberFormat="1" applyFont="1" applyFill="1" applyBorder="1" applyAlignment="1">
      <alignment horizontal="center" vertical="center" wrapText="1"/>
    </xf>
    <xf numFmtId="3" fontId="16" fillId="4" borderId="18" xfId="1" applyNumberFormat="1" applyFont="1" applyFill="1" applyBorder="1" applyAlignment="1">
      <alignment horizontal="center" vertical="center" wrapText="1"/>
    </xf>
    <xf numFmtId="0" fontId="14" fillId="5" borderId="7" xfId="1" applyFont="1" applyFill="1" applyBorder="1" applyAlignment="1">
      <alignment horizontal="center" vertical="center" wrapText="1"/>
    </xf>
    <xf numFmtId="3" fontId="16" fillId="4" borderId="11" xfId="1" applyNumberFormat="1" applyFont="1" applyFill="1" applyBorder="1" applyAlignment="1">
      <alignment horizontal="center" vertical="center" wrapText="1"/>
    </xf>
    <xf numFmtId="164" fontId="19" fillId="4" borderId="12" xfId="1" applyNumberFormat="1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vertical="center"/>
    </xf>
    <xf numFmtId="3" fontId="6" fillId="0" borderId="7" xfId="1" applyNumberFormat="1" applyFont="1" applyFill="1" applyBorder="1" applyAlignment="1">
      <alignment horizontal="center" vertical="center" wrapText="1" readingOrder="2"/>
    </xf>
    <xf numFmtId="3" fontId="6" fillId="0" borderId="21" xfId="1" applyNumberFormat="1" applyFont="1" applyFill="1" applyBorder="1" applyAlignment="1">
      <alignment horizontal="center" vertical="center" wrapText="1" readingOrder="2"/>
    </xf>
    <xf numFmtId="164" fontId="6" fillId="0" borderId="6" xfId="1" applyNumberFormat="1" applyFont="1" applyFill="1" applyBorder="1" applyAlignment="1">
      <alignment horizontal="center" vertical="center" wrapText="1" readingOrder="2"/>
    </xf>
    <xf numFmtId="0" fontId="5" fillId="0" borderId="0" xfId="1" applyFont="1" applyAlignment="1">
      <alignment horizontal="right" vertical="center"/>
    </xf>
    <xf numFmtId="0" fontId="10" fillId="0" borderId="0" xfId="1" applyFont="1" applyAlignment="1">
      <alignment horizontal="center" vertical="center" readingOrder="2"/>
    </xf>
    <xf numFmtId="3" fontId="15" fillId="2" borderId="15" xfId="1" applyNumberFormat="1" applyFont="1" applyFill="1" applyBorder="1" applyAlignment="1">
      <alignment horizontal="center" vertical="center" wrapText="1"/>
    </xf>
    <xf numFmtId="3" fontId="15" fillId="2" borderId="9" xfId="1" applyNumberFormat="1" applyFont="1" applyFill="1" applyBorder="1" applyAlignment="1">
      <alignment horizontal="center" vertical="center" wrapText="1"/>
    </xf>
    <xf numFmtId="3" fontId="15" fillId="2" borderId="16" xfId="1" applyNumberFormat="1" applyFont="1" applyFill="1" applyBorder="1" applyAlignment="1">
      <alignment horizontal="center" vertical="center" wrapText="1"/>
    </xf>
    <xf numFmtId="3" fontId="15" fillId="2" borderId="17" xfId="1" applyNumberFormat="1" applyFont="1" applyFill="1" applyBorder="1" applyAlignment="1">
      <alignment horizontal="center" vertical="center" wrapText="1"/>
    </xf>
    <xf numFmtId="3" fontId="15" fillId="2" borderId="8" xfId="1" applyNumberFormat="1" applyFont="1" applyFill="1" applyBorder="1" applyAlignment="1">
      <alignment horizontal="center" vertical="center" wrapText="1"/>
    </xf>
    <xf numFmtId="3" fontId="16" fillId="2" borderId="15" xfId="1" applyNumberFormat="1" applyFont="1" applyFill="1" applyBorder="1" applyAlignment="1">
      <alignment horizontal="center" vertical="center" wrapText="1"/>
    </xf>
    <xf numFmtId="3" fontId="16" fillId="2" borderId="9" xfId="1" applyNumberFormat="1" applyFont="1" applyFill="1" applyBorder="1" applyAlignment="1">
      <alignment horizontal="center" vertical="center" wrapText="1"/>
    </xf>
    <xf numFmtId="3" fontId="15" fillId="2" borderId="1" xfId="1" applyNumberFormat="1" applyFont="1" applyFill="1" applyBorder="1" applyAlignment="1">
      <alignment horizontal="center" vertical="center" wrapText="1"/>
    </xf>
    <xf numFmtId="3" fontId="15" fillId="2" borderId="5" xfId="1" applyNumberFormat="1" applyFont="1" applyFill="1" applyBorder="1" applyAlignment="1">
      <alignment horizontal="center" vertical="center" wrapText="1"/>
    </xf>
    <xf numFmtId="3" fontId="15" fillId="2" borderId="2" xfId="1" applyNumberFormat="1" applyFont="1" applyFill="1" applyBorder="1" applyAlignment="1">
      <alignment horizontal="center" vertical="center" wrapText="1"/>
    </xf>
    <xf numFmtId="3" fontId="15" fillId="2" borderId="4" xfId="1" applyNumberFormat="1" applyFont="1" applyFill="1" applyBorder="1" applyAlignment="1">
      <alignment horizontal="center" vertical="center" wrapText="1"/>
    </xf>
    <xf numFmtId="3" fontId="16" fillId="2" borderId="2" xfId="1" applyNumberFormat="1" applyFont="1" applyFill="1" applyBorder="1" applyAlignment="1">
      <alignment horizontal="center" vertical="center" wrapText="1"/>
    </xf>
    <xf numFmtId="3" fontId="16" fillId="2" borderId="4" xfId="1" applyNumberFormat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 vertical="center" wrapText="1" readingOrder="2"/>
    </xf>
    <xf numFmtId="0" fontId="5" fillId="0" borderId="0" xfId="1" applyFont="1" applyAlignment="1">
      <alignment horizontal="right" vertical="center"/>
    </xf>
    <xf numFmtId="0" fontId="10" fillId="0" borderId="19" xfId="1" applyFont="1" applyBorder="1" applyAlignment="1">
      <alignment horizontal="center" vertical="center" readingOrder="2"/>
    </xf>
    <xf numFmtId="0" fontId="16" fillId="0" borderId="0" xfId="1" applyFont="1" applyAlignment="1">
      <alignment horizontal="center" vertical="center" readingOrder="2"/>
    </xf>
    <xf numFmtId="3" fontId="14" fillId="5" borderId="20" xfId="1" applyNumberFormat="1" applyFont="1" applyFill="1" applyBorder="1" applyAlignment="1">
      <alignment horizontal="center" vertical="center" wrapText="1" readingOrder="2"/>
    </xf>
    <xf numFmtId="3" fontId="14" fillId="5" borderId="7" xfId="1" applyNumberFormat="1" applyFont="1" applyFill="1" applyBorder="1" applyAlignment="1">
      <alignment horizontal="center" vertical="center" wrapText="1" readingOrder="2"/>
    </xf>
    <xf numFmtId="3" fontId="14" fillId="5" borderId="2" xfId="1" applyNumberFormat="1" applyFont="1" applyFill="1" applyBorder="1" applyAlignment="1">
      <alignment horizontal="center" vertical="center" wrapText="1" readingOrder="2"/>
    </xf>
    <xf numFmtId="3" fontId="14" fillId="5" borderId="4" xfId="1" applyNumberFormat="1" applyFont="1" applyFill="1" applyBorder="1" applyAlignment="1">
      <alignment horizontal="center" vertical="center" wrapText="1" readingOrder="2"/>
    </xf>
    <xf numFmtId="3" fontId="14" fillId="5" borderId="3" xfId="1" applyNumberFormat="1" applyFont="1" applyFill="1" applyBorder="1" applyAlignment="1">
      <alignment horizontal="center" vertical="center" wrapText="1" readingOrder="2"/>
    </xf>
    <xf numFmtId="3" fontId="14" fillId="5" borderId="6" xfId="1" applyNumberFormat="1" applyFont="1" applyFill="1" applyBorder="1" applyAlignment="1">
      <alignment horizontal="center" vertical="center" wrapText="1" readingOrder="2"/>
    </xf>
    <xf numFmtId="9" fontId="6" fillId="4" borderId="6" xfId="7" applyFont="1" applyFill="1" applyBorder="1" applyAlignment="1">
      <alignment horizontal="center" vertical="center" wrapText="1" readingOrder="2"/>
    </xf>
    <xf numFmtId="168" fontId="5" fillId="0" borderId="0" xfId="6" applyNumberFormat="1" applyFont="1" applyAlignment="1">
      <alignment vertical="center"/>
    </xf>
    <xf numFmtId="169" fontId="5" fillId="0" borderId="0" xfId="1" applyNumberFormat="1" applyFont="1" applyAlignment="1">
      <alignment vertical="center"/>
    </xf>
    <xf numFmtId="168" fontId="5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9" fontId="5" fillId="0" borderId="0" xfId="7" applyFont="1" applyAlignment="1">
      <alignment vertical="center"/>
    </xf>
    <xf numFmtId="164" fontId="6" fillId="0" borderId="4" xfId="1" applyNumberFormat="1" applyFont="1" applyFill="1" applyBorder="1" applyAlignment="1">
      <alignment horizontal="center" vertical="center" wrapText="1" readingOrder="1"/>
    </xf>
    <xf numFmtId="0" fontId="33" fillId="37" borderId="31" xfId="8" applyFont="1" applyFill="1" applyBorder="1" applyAlignment="1" applyProtection="1">
      <alignment horizontal="center" vertical="center"/>
      <protection locked="0"/>
    </xf>
    <xf numFmtId="0" fontId="33" fillId="37" borderId="32" xfId="8" applyFont="1" applyFill="1" applyBorder="1" applyAlignment="1" applyProtection="1">
      <alignment horizontal="center" vertical="center"/>
      <protection locked="0"/>
    </xf>
    <xf numFmtId="0" fontId="33" fillId="37" borderId="33" xfId="8" applyFont="1" applyFill="1" applyBorder="1" applyAlignment="1" applyProtection="1">
      <alignment horizontal="center" vertical="center"/>
      <protection locked="0"/>
    </xf>
    <xf numFmtId="0" fontId="0" fillId="0" borderId="0" xfId="8" applyFont="1" applyProtection="1">
      <protection locked="0"/>
    </xf>
    <xf numFmtId="3" fontId="34" fillId="38" borderId="20" xfId="8" applyNumberFormat="1" applyFont="1" applyFill="1" applyBorder="1" applyAlignment="1" applyProtection="1">
      <alignment horizontal="center" vertical="center" shrinkToFit="1"/>
      <protection locked="0"/>
    </xf>
    <xf numFmtId="3" fontId="34" fillId="38" borderId="2" xfId="8" applyNumberFormat="1" applyFont="1" applyFill="1" applyBorder="1" applyAlignment="1" applyProtection="1">
      <alignment horizontal="center" vertical="center" shrinkToFit="1"/>
      <protection locked="0"/>
    </xf>
    <xf numFmtId="3" fontId="34" fillId="38" borderId="34" xfId="8" applyNumberFormat="1" applyFont="1" applyFill="1" applyBorder="1" applyAlignment="1" applyProtection="1">
      <alignment horizontal="center" vertical="center" wrapText="1" shrinkToFit="1"/>
      <protection locked="0"/>
    </xf>
    <xf numFmtId="3" fontId="34" fillId="38" borderId="35" xfId="8" applyNumberFormat="1" applyFont="1" applyFill="1" applyBorder="1" applyAlignment="1" applyProtection="1">
      <alignment horizontal="center" vertical="center" wrapText="1" shrinkToFit="1"/>
      <protection locked="0"/>
    </xf>
    <xf numFmtId="173" fontId="13" fillId="0" borderId="0" xfId="8" applyNumberFormat="1" applyFont="1" applyAlignment="1" applyProtection="1">
      <alignment horizontal="right" readingOrder="2"/>
      <protection locked="0"/>
    </xf>
    <xf numFmtId="3" fontId="34" fillId="38" borderId="21" xfId="8" applyNumberFormat="1" applyFont="1" applyFill="1" applyBorder="1" applyAlignment="1" applyProtection="1">
      <alignment horizontal="center" vertical="center" shrinkToFit="1"/>
      <protection locked="0"/>
    </xf>
    <xf numFmtId="3" fontId="34" fillId="38" borderId="12" xfId="8" applyNumberFormat="1" applyFont="1" applyFill="1" applyBorder="1" applyAlignment="1" applyProtection="1">
      <alignment horizontal="center" vertical="center" shrinkToFit="1"/>
      <protection locked="0"/>
    </xf>
    <xf numFmtId="3" fontId="34" fillId="38" borderId="36" xfId="8" applyNumberFormat="1" applyFont="1" applyFill="1" applyBorder="1" applyAlignment="1" applyProtection="1">
      <alignment horizontal="center" vertical="center" shrinkToFit="1"/>
      <protection locked="0"/>
    </xf>
    <xf numFmtId="3" fontId="34" fillId="38" borderId="37" xfId="8" applyNumberFormat="1" applyFont="1" applyFill="1" applyBorder="1" applyAlignment="1" applyProtection="1">
      <alignment horizontal="center" vertical="center" shrinkToFit="1"/>
      <protection locked="0"/>
    </xf>
    <xf numFmtId="3" fontId="35" fillId="39" borderId="38" xfId="8" applyNumberFormat="1" applyFont="1" applyFill="1" applyBorder="1" applyAlignment="1" applyProtection="1">
      <alignment horizontal="center" vertical="center" shrinkToFit="1"/>
      <protection locked="0"/>
    </xf>
    <xf numFmtId="0" fontId="36" fillId="39" borderId="39" xfId="8" applyFont="1" applyFill="1" applyBorder="1" applyAlignment="1" applyProtection="1">
      <alignment horizontal="center" vertical="center" textRotation="90" wrapText="1" readingOrder="2"/>
      <protection locked="0"/>
    </xf>
    <xf numFmtId="3" fontId="37" fillId="0" borderId="40" xfId="8" applyNumberFormat="1" applyFont="1" applyFill="1" applyBorder="1" applyAlignment="1" applyProtection="1">
      <alignment horizontal="center" vertical="center" shrinkToFit="1"/>
      <protection locked="0"/>
    </xf>
    <xf numFmtId="3" fontId="38" fillId="39" borderId="41" xfId="9" applyNumberFormat="1" applyFont="1" applyFill="1" applyBorder="1" applyAlignment="1" applyProtection="1">
      <alignment horizontal="center" vertical="center" shrinkToFit="1"/>
      <protection locked="0"/>
    </xf>
    <xf numFmtId="3" fontId="39" fillId="0" borderId="9" xfId="9" applyNumberFormat="1" applyFont="1" applyBorder="1" applyAlignment="1" applyProtection="1">
      <alignment horizontal="center" vertical="center" shrinkToFit="1"/>
      <protection locked="0"/>
    </xf>
    <xf numFmtId="3" fontId="38" fillId="0" borderId="42" xfId="9" applyNumberFormat="1" applyFont="1" applyBorder="1" applyAlignment="1" applyProtection="1">
      <alignment horizontal="center" vertical="center" shrinkToFit="1"/>
      <protection locked="0"/>
    </xf>
    <xf numFmtId="3" fontId="38" fillId="0" borderId="9" xfId="9" applyNumberFormat="1" applyFont="1" applyFill="1" applyBorder="1" applyAlignment="1" applyProtection="1">
      <alignment horizontal="center" vertical="center" shrinkToFit="1"/>
      <protection locked="0"/>
    </xf>
    <xf numFmtId="3" fontId="38" fillId="0" borderId="42" xfId="9" applyNumberFormat="1" applyFont="1" applyFill="1" applyBorder="1" applyAlignment="1" applyProtection="1">
      <alignment horizontal="center" vertical="center" shrinkToFit="1"/>
      <protection locked="0"/>
    </xf>
    <xf numFmtId="3" fontId="38" fillId="39" borderId="42" xfId="9" applyNumberFormat="1" applyFont="1" applyFill="1" applyBorder="1" applyAlignment="1" applyProtection="1">
      <alignment horizontal="center" vertical="center" shrinkToFit="1"/>
      <protection locked="0"/>
    </xf>
    <xf numFmtId="9" fontId="37" fillId="39" borderId="10" xfId="10" applyFont="1" applyFill="1" applyBorder="1" applyAlignment="1" applyProtection="1">
      <alignment horizontal="center" vertical="center" readingOrder="2"/>
      <protection locked="0"/>
    </xf>
    <xf numFmtId="0" fontId="36" fillId="39" borderId="43" xfId="8" applyFont="1" applyFill="1" applyBorder="1" applyAlignment="1" applyProtection="1">
      <alignment horizontal="center" vertical="center" textRotation="90" wrapText="1" readingOrder="2"/>
      <protection locked="0"/>
    </xf>
    <xf numFmtId="3" fontId="37" fillId="0" borderId="44" xfId="8" applyNumberFormat="1" applyFont="1" applyFill="1" applyBorder="1" applyAlignment="1" applyProtection="1">
      <alignment horizontal="center" vertical="center" shrinkToFit="1"/>
      <protection locked="0"/>
    </xf>
    <xf numFmtId="3" fontId="38" fillId="39" borderId="45" xfId="9" applyNumberFormat="1" applyFont="1" applyFill="1" applyBorder="1" applyAlignment="1" applyProtection="1">
      <alignment horizontal="center" vertical="center" shrinkToFit="1"/>
      <protection locked="0"/>
    </xf>
    <xf numFmtId="3" fontId="39" fillId="0" borderId="4" xfId="9" applyNumberFormat="1" applyFont="1" applyBorder="1" applyAlignment="1" applyProtection="1">
      <alignment horizontal="center" vertical="center" shrinkToFit="1"/>
      <protection locked="0"/>
    </xf>
    <xf numFmtId="3" fontId="38" fillId="0" borderId="4" xfId="9" applyNumberFormat="1" applyFont="1" applyFill="1" applyBorder="1" applyAlignment="1" applyProtection="1">
      <alignment horizontal="center" vertical="center" shrinkToFit="1"/>
      <protection locked="0"/>
    </xf>
    <xf numFmtId="3" fontId="37" fillId="40" borderId="44" xfId="8" applyNumberFormat="1" applyFont="1" applyFill="1" applyBorder="1" applyAlignment="1" applyProtection="1">
      <alignment horizontal="center" vertical="center" shrinkToFit="1"/>
      <protection locked="0"/>
    </xf>
    <xf numFmtId="3" fontId="37" fillId="41" borderId="44" xfId="8" applyNumberFormat="1" applyFont="1" applyFill="1" applyBorder="1" applyAlignment="1" applyProtection="1">
      <alignment horizontal="center" vertical="center" shrinkToFit="1"/>
      <protection locked="0"/>
    </xf>
    <xf numFmtId="3" fontId="37" fillId="0" borderId="44" xfId="8" applyNumberFormat="1" applyFont="1" applyBorder="1" applyAlignment="1" applyProtection="1">
      <alignment horizontal="center" vertical="center" shrinkToFit="1"/>
      <protection locked="0"/>
    </xf>
    <xf numFmtId="3" fontId="38" fillId="0" borderId="4" xfId="9" applyNumberFormat="1" applyFont="1" applyBorder="1" applyAlignment="1" applyProtection="1">
      <alignment horizontal="center" vertical="center" shrinkToFit="1"/>
      <protection locked="0"/>
    </xf>
    <xf numFmtId="173" fontId="40" fillId="0" borderId="0" xfId="8" applyNumberFormat="1" applyFont="1" applyAlignment="1" applyProtection="1">
      <alignment horizontal="right" vertical="center" readingOrder="2"/>
      <protection locked="0"/>
    </xf>
    <xf numFmtId="3" fontId="41" fillId="42" borderId="46" xfId="8" applyNumberFormat="1" applyFont="1" applyFill="1" applyBorder="1" applyAlignment="1" applyProtection="1">
      <alignment horizontal="center" vertical="center" shrinkToFit="1"/>
      <protection locked="0"/>
    </xf>
    <xf numFmtId="0" fontId="41" fillId="43" borderId="0" xfId="8" applyFont="1" applyFill="1" applyProtection="1">
      <protection locked="0"/>
    </xf>
    <xf numFmtId="0" fontId="41" fillId="43" borderId="47" xfId="8" applyFont="1" applyFill="1" applyBorder="1" applyProtection="1">
      <protection locked="0"/>
    </xf>
    <xf numFmtId="3" fontId="38" fillId="43" borderId="45" xfId="9" applyNumberFormat="1" applyFont="1" applyFill="1" applyBorder="1" applyAlignment="1" applyProtection="1">
      <alignment horizontal="center" vertical="center" shrinkToFit="1"/>
      <protection locked="0"/>
    </xf>
    <xf numFmtId="9" fontId="38" fillId="43" borderId="48" xfId="10" applyFont="1" applyFill="1" applyBorder="1" applyAlignment="1" applyProtection="1">
      <alignment horizontal="center" vertical="center" shrinkToFit="1"/>
      <protection locked="0"/>
    </xf>
    <xf numFmtId="3" fontId="35" fillId="5" borderId="49" xfId="8" applyNumberFormat="1" applyFont="1" applyFill="1" applyBorder="1" applyAlignment="1" applyProtection="1">
      <alignment horizontal="center" vertical="center" shrinkToFit="1"/>
      <protection locked="0"/>
    </xf>
    <xf numFmtId="0" fontId="36" fillId="5" borderId="50" xfId="8" applyFont="1" applyFill="1" applyBorder="1" applyAlignment="1" applyProtection="1">
      <alignment horizontal="center" vertical="center" textRotation="90" readingOrder="2"/>
      <protection locked="0"/>
    </xf>
    <xf numFmtId="3" fontId="37" fillId="0" borderId="51" xfId="8" applyNumberFormat="1" applyFont="1" applyBorder="1" applyAlignment="1" applyProtection="1">
      <alignment horizontal="center" vertical="center" shrinkToFit="1"/>
      <protection locked="0"/>
    </xf>
    <xf numFmtId="3" fontId="38" fillId="5" borderId="45" xfId="9" applyNumberFormat="1" applyFont="1" applyFill="1" applyBorder="1" applyAlignment="1" applyProtection="1">
      <alignment horizontal="center" vertical="center" shrinkToFit="1"/>
      <protection locked="0"/>
    </xf>
    <xf numFmtId="3" fontId="38" fillId="0" borderId="16" xfId="9" applyNumberFormat="1" applyFont="1" applyBorder="1" applyAlignment="1" applyProtection="1">
      <alignment horizontal="center" vertical="center" shrinkToFit="1"/>
      <protection locked="0"/>
    </xf>
    <xf numFmtId="9" fontId="37" fillId="5" borderId="6" xfId="10" applyFont="1" applyFill="1" applyBorder="1" applyAlignment="1" applyProtection="1">
      <alignment horizontal="center" vertical="center" readingOrder="2"/>
      <protection locked="0"/>
    </xf>
    <xf numFmtId="0" fontId="36" fillId="5" borderId="52" xfId="8" applyFont="1" applyFill="1" applyBorder="1" applyAlignment="1" applyProtection="1">
      <alignment horizontal="center" vertical="center" textRotation="90" readingOrder="2"/>
      <protection locked="0"/>
    </xf>
    <xf numFmtId="3" fontId="37" fillId="0" borderId="53" xfId="8" applyNumberFormat="1" applyFont="1" applyBorder="1" applyAlignment="1" applyProtection="1">
      <alignment horizontal="center" vertical="center" shrinkToFit="1"/>
      <protection locked="0"/>
    </xf>
    <xf numFmtId="3" fontId="41" fillId="44" borderId="54" xfId="8" applyNumberFormat="1" applyFont="1" applyFill="1" applyBorder="1" applyAlignment="1" applyProtection="1">
      <alignment horizontal="center" vertical="center" shrinkToFit="1"/>
      <protection locked="0"/>
    </xf>
    <xf numFmtId="0" fontId="41" fillId="45" borderId="55" xfId="8" applyFont="1" applyFill="1" applyBorder="1" applyProtection="1">
      <protection locked="0"/>
    </xf>
    <xf numFmtId="3" fontId="38" fillId="45" borderId="45" xfId="9" applyNumberFormat="1" applyFont="1" applyFill="1" applyBorder="1" applyAlignment="1" applyProtection="1">
      <alignment horizontal="center" vertical="center" shrinkToFit="1"/>
      <protection locked="0"/>
    </xf>
    <xf numFmtId="9" fontId="37" fillId="45" borderId="6" xfId="10" applyFont="1" applyFill="1" applyBorder="1" applyAlignment="1" applyProtection="1">
      <alignment horizontal="center" vertical="center" readingOrder="2"/>
      <protection locked="0"/>
    </xf>
    <xf numFmtId="3" fontId="35" fillId="46" borderId="49" xfId="8" applyNumberFormat="1" applyFont="1" applyFill="1" applyBorder="1" applyAlignment="1" applyProtection="1">
      <alignment horizontal="center" vertical="center" shrinkToFit="1"/>
      <protection locked="0"/>
    </xf>
    <xf numFmtId="0" fontId="36" fillId="46" borderId="50" xfId="8" applyFont="1" applyFill="1" applyBorder="1" applyAlignment="1" applyProtection="1">
      <alignment horizontal="center" vertical="center" readingOrder="2"/>
      <protection locked="0"/>
    </xf>
    <xf numFmtId="3" fontId="38" fillId="46" borderId="45" xfId="9" applyNumberFormat="1" applyFont="1" applyFill="1" applyBorder="1" applyAlignment="1" applyProtection="1">
      <alignment horizontal="center" vertical="center" shrinkToFit="1"/>
      <protection locked="0"/>
    </xf>
    <xf numFmtId="9" fontId="37" fillId="46" borderId="6" xfId="10" applyFont="1" applyFill="1" applyBorder="1" applyAlignment="1" applyProtection="1">
      <alignment horizontal="center" vertical="center" readingOrder="2"/>
      <protection locked="0"/>
    </xf>
    <xf numFmtId="0" fontId="36" fillId="46" borderId="52" xfId="8" applyFont="1" applyFill="1" applyBorder="1" applyAlignment="1" applyProtection="1">
      <alignment horizontal="center" vertical="center" readingOrder="2"/>
      <protection locked="0"/>
    </xf>
    <xf numFmtId="173" fontId="40" fillId="0" borderId="0" xfId="8" applyNumberFormat="1" applyFont="1" applyAlignment="1" applyProtection="1">
      <alignment horizontal="right" readingOrder="2"/>
      <protection locked="0"/>
    </xf>
    <xf numFmtId="0" fontId="36" fillId="46" borderId="56" xfId="8" applyFont="1" applyFill="1" applyBorder="1" applyAlignment="1" applyProtection="1">
      <alignment horizontal="center" vertical="center" readingOrder="2"/>
      <protection locked="0"/>
    </xf>
    <xf numFmtId="0" fontId="42" fillId="47" borderId="54" xfId="8" applyFont="1" applyFill="1" applyBorder="1" applyAlignment="1" applyProtection="1">
      <alignment horizontal="center" vertical="center" wrapText="1" readingOrder="2"/>
      <protection locked="0"/>
    </xf>
    <xf numFmtId="0" fontId="42" fillId="47" borderId="55" xfId="8" applyFont="1" applyFill="1" applyBorder="1" applyAlignment="1" applyProtection="1">
      <alignment horizontal="center" vertical="center" wrapText="1" readingOrder="2"/>
      <protection locked="0"/>
    </xf>
    <xf numFmtId="0" fontId="42" fillId="47" borderId="57" xfId="8" applyFont="1" applyFill="1" applyBorder="1" applyAlignment="1" applyProtection="1">
      <alignment horizontal="center" vertical="center" wrapText="1" readingOrder="2"/>
      <protection locked="0"/>
    </xf>
    <xf numFmtId="3" fontId="38" fillId="48" borderId="45" xfId="9" applyNumberFormat="1" applyFont="1" applyFill="1" applyBorder="1" applyAlignment="1" applyProtection="1">
      <alignment horizontal="center" vertical="center" shrinkToFit="1"/>
      <protection locked="0"/>
    </xf>
    <xf numFmtId="9" fontId="37" fillId="48" borderId="6" xfId="10" applyFont="1" applyFill="1" applyBorder="1" applyAlignment="1" applyProtection="1">
      <alignment horizontal="center" vertical="center" readingOrder="2"/>
      <protection locked="0"/>
    </xf>
    <xf numFmtId="0" fontId="36" fillId="5" borderId="50" xfId="8" applyFont="1" applyFill="1" applyBorder="1" applyAlignment="1" applyProtection="1">
      <alignment horizontal="center" vertical="center" readingOrder="2"/>
      <protection locked="0"/>
    </xf>
    <xf numFmtId="3" fontId="37" fillId="5" borderId="51" xfId="8" applyNumberFormat="1" applyFont="1" applyFill="1" applyBorder="1" applyAlignment="1" applyProtection="1">
      <alignment horizontal="center" vertical="center" shrinkToFit="1"/>
      <protection locked="0"/>
    </xf>
    <xf numFmtId="0" fontId="36" fillId="5" borderId="52" xfId="8" applyFont="1" applyFill="1" applyBorder="1" applyAlignment="1" applyProtection="1">
      <alignment horizontal="center" vertical="center" readingOrder="2"/>
      <protection locked="0"/>
    </xf>
    <xf numFmtId="3" fontId="39" fillId="0" borderId="16" xfId="9" applyNumberFormat="1" applyFont="1" applyBorder="1" applyAlignment="1" applyProtection="1">
      <alignment horizontal="center" vertical="center" shrinkToFit="1"/>
      <protection locked="0"/>
    </xf>
    <xf numFmtId="0" fontId="42" fillId="49" borderId="16" xfId="8" applyFont="1" applyFill="1" applyBorder="1" applyAlignment="1" applyProtection="1">
      <alignment horizontal="center" vertical="center" wrapText="1" readingOrder="2"/>
      <protection locked="0"/>
    </xf>
    <xf numFmtId="0" fontId="36" fillId="50" borderId="17" xfId="8" applyFont="1" applyFill="1" applyBorder="1" applyAlignment="1" applyProtection="1">
      <alignment horizontal="center" vertical="center" textRotation="90" wrapText="1" readingOrder="2"/>
      <protection locked="0"/>
    </xf>
    <xf numFmtId="3" fontId="37" fillId="50" borderId="8" xfId="8" applyNumberFormat="1" applyFont="1" applyFill="1" applyBorder="1" applyAlignment="1" applyProtection="1">
      <alignment horizontal="center" vertical="center" wrapText="1" shrinkToFit="1"/>
      <protection locked="0"/>
    </xf>
    <xf numFmtId="3" fontId="38" fillId="50" borderId="58" xfId="9" applyNumberFormat="1" applyFont="1" applyFill="1" applyBorder="1" applyAlignment="1" applyProtection="1">
      <alignment horizontal="center" vertical="center" shrinkToFit="1"/>
      <protection locked="0"/>
    </xf>
    <xf numFmtId="3" fontId="38" fillId="50" borderId="45" xfId="9" applyNumberFormat="1" applyFont="1" applyFill="1" applyBorder="1" applyAlignment="1" applyProtection="1">
      <alignment horizontal="center" vertical="center" shrinkToFit="1"/>
      <protection locked="0"/>
    </xf>
    <xf numFmtId="3" fontId="35" fillId="4" borderId="59" xfId="8" applyNumberFormat="1" applyFont="1" applyFill="1" applyBorder="1" applyAlignment="1" applyProtection="1">
      <alignment horizontal="center" vertical="center" shrinkToFit="1"/>
      <protection locked="0"/>
    </xf>
    <xf numFmtId="0" fontId="36" fillId="4" borderId="60" xfId="8" applyFont="1" applyFill="1" applyBorder="1" applyAlignment="1" applyProtection="1">
      <alignment horizontal="center" vertical="center" textRotation="90" wrapText="1" readingOrder="2"/>
      <protection locked="0"/>
    </xf>
    <xf numFmtId="3" fontId="37" fillId="0" borderId="61" xfId="8" applyNumberFormat="1" applyFont="1" applyBorder="1" applyAlignment="1" applyProtection="1">
      <alignment horizontal="center" vertical="center" shrinkToFit="1"/>
      <protection locked="0"/>
    </xf>
    <xf numFmtId="3" fontId="38" fillId="4" borderId="45" xfId="9" applyNumberFormat="1" applyFont="1" applyFill="1" applyBorder="1" applyAlignment="1" applyProtection="1">
      <alignment horizontal="center" vertical="center" shrinkToFit="1"/>
      <protection locked="0"/>
    </xf>
    <xf numFmtId="9" fontId="37" fillId="4" borderId="6" xfId="10" applyFont="1" applyFill="1" applyBorder="1" applyAlignment="1" applyProtection="1">
      <alignment horizontal="center" vertical="center" readingOrder="2"/>
      <protection locked="0"/>
    </xf>
    <xf numFmtId="3" fontId="35" fillId="4" borderId="49" xfId="8" applyNumberFormat="1" applyFont="1" applyFill="1" applyBorder="1" applyAlignment="1" applyProtection="1">
      <alignment horizontal="center" vertical="center" shrinkToFit="1"/>
      <protection locked="0"/>
    </xf>
    <xf numFmtId="0" fontId="36" fillId="4" borderId="62" xfId="8" applyFont="1" applyFill="1" applyBorder="1" applyAlignment="1" applyProtection="1">
      <alignment horizontal="center" vertical="center" textRotation="90" wrapText="1" readingOrder="2"/>
      <protection locked="0"/>
    </xf>
    <xf numFmtId="0" fontId="36" fillId="4" borderId="61" xfId="8" applyFont="1" applyFill="1" applyBorder="1" applyAlignment="1" applyProtection="1">
      <alignment horizontal="center" vertical="center" textRotation="90" wrapText="1" readingOrder="2"/>
      <protection locked="0"/>
    </xf>
    <xf numFmtId="0" fontId="43" fillId="51" borderId="46" xfId="8" applyFont="1" applyFill="1" applyBorder="1" applyAlignment="1" applyProtection="1">
      <alignment horizontal="center" vertical="center" wrapText="1" readingOrder="2"/>
      <protection locked="0"/>
    </xf>
    <xf numFmtId="0" fontId="44" fillId="4" borderId="47" xfId="8" applyFont="1" applyFill="1" applyBorder="1" applyProtection="1">
      <protection locked="0"/>
    </xf>
    <xf numFmtId="3" fontId="38" fillId="4" borderId="63" xfId="9" applyNumberFormat="1" applyFont="1" applyFill="1" applyBorder="1" applyAlignment="1" applyProtection="1">
      <alignment horizontal="center" vertical="center" shrinkToFit="1"/>
      <protection locked="0"/>
    </xf>
    <xf numFmtId="9" fontId="37" fillId="4" borderId="64" xfId="10" applyFont="1" applyFill="1" applyBorder="1" applyAlignment="1" applyProtection="1">
      <alignment horizontal="center" vertical="center" readingOrder="2"/>
      <protection locked="0"/>
    </xf>
    <xf numFmtId="0" fontId="36" fillId="5" borderId="65" xfId="8" applyFont="1" applyFill="1" applyBorder="1" applyAlignment="1" applyProtection="1">
      <alignment horizontal="center" vertical="center" textRotation="90" wrapText="1" readingOrder="2"/>
      <protection locked="0"/>
    </xf>
    <xf numFmtId="0" fontId="45" fillId="5" borderId="62" xfId="8" applyFont="1" applyFill="1" applyBorder="1" applyProtection="1">
      <protection locked="0"/>
    </xf>
    <xf numFmtId="3" fontId="35" fillId="5" borderId="66" xfId="8" applyNumberFormat="1" applyFont="1" applyFill="1" applyBorder="1" applyAlignment="1" applyProtection="1">
      <alignment horizontal="center" vertical="center" shrinkToFit="1"/>
      <protection locked="0"/>
    </xf>
    <xf numFmtId="0" fontId="42" fillId="52" borderId="67" xfId="8" applyFont="1" applyFill="1" applyBorder="1" applyAlignment="1" applyProtection="1">
      <alignment horizontal="center" vertical="center" wrapText="1" readingOrder="2"/>
      <protection locked="0"/>
    </xf>
    <xf numFmtId="0" fontId="42" fillId="52" borderId="0" xfId="8" applyFont="1" applyFill="1" applyBorder="1" applyAlignment="1" applyProtection="1">
      <alignment horizontal="center" vertical="center" wrapText="1" readingOrder="2"/>
      <protection locked="0"/>
    </xf>
    <xf numFmtId="0" fontId="42" fillId="52" borderId="68" xfId="8" applyFont="1" applyFill="1" applyBorder="1" applyAlignment="1" applyProtection="1">
      <alignment horizontal="center" vertical="center" wrapText="1" readingOrder="2"/>
      <protection locked="0"/>
    </xf>
    <xf numFmtId="3" fontId="38" fillId="5" borderId="63" xfId="9" applyNumberFormat="1" applyFont="1" applyFill="1" applyBorder="1" applyAlignment="1" applyProtection="1">
      <alignment horizontal="center" vertical="center" shrinkToFit="1"/>
      <protection locked="0"/>
    </xf>
    <xf numFmtId="9" fontId="37" fillId="5" borderId="64" xfId="10" applyFont="1" applyFill="1" applyBorder="1" applyAlignment="1" applyProtection="1">
      <alignment horizontal="center" vertical="center" readingOrder="2"/>
      <protection locked="0"/>
    </xf>
    <xf numFmtId="0" fontId="43" fillId="53" borderId="69" xfId="8" applyFont="1" applyFill="1" applyBorder="1" applyAlignment="1" applyProtection="1">
      <alignment horizontal="center" vertical="center" readingOrder="2"/>
      <protection locked="0"/>
    </xf>
    <xf numFmtId="0" fontId="43" fillId="53" borderId="70" xfId="8" applyFont="1" applyFill="1" applyBorder="1" applyAlignment="1" applyProtection="1">
      <alignment horizontal="center" vertical="center" readingOrder="2"/>
      <protection locked="0"/>
    </xf>
    <xf numFmtId="3" fontId="38" fillId="54" borderId="71" xfId="9" applyNumberFormat="1" applyFont="1" applyFill="1" applyBorder="1" applyAlignment="1" applyProtection="1">
      <alignment horizontal="center" vertical="center" shrinkToFit="1"/>
      <protection locked="0"/>
    </xf>
    <xf numFmtId="9" fontId="37" fillId="54" borderId="72" xfId="10" applyFont="1" applyFill="1" applyBorder="1" applyAlignment="1" applyProtection="1">
      <alignment horizontal="center" vertical="center" readingOrder="2"/>
      <protection locked="0"/>
    </xf>
    <xf numFmtId="0" fontId="43" fillId="53" borderId="0" xfId="8" applyFont="1" applyFill="1" applyBorder="1" applyAlignment="1" applyProtection="1">
      <alignment horizontal="center" vertical="center" readingOrder="2"/>
      <protection locked="0"/>
    </xf>
    <xf numFmtId="3" fontId="38" fillId="54" borderId="0" xfId="9" applyNumberFormat="1" applyFont="1" applyFill="1" applyBorder="1" applyAlignment="1" applyProtection="1">
      <alignment horizontal="center" vertical="center" shrinkToFit="1"/>
      <protection locked="0"/>
    </xf>
    <xf numFmtId="9" fontId="37" fillId="54" borderId="0" xfId="10" applyFont="1" applyFill="1" applyBorder="1" applyAlignment="1" applyProtection="1">
      <alignment horizontal="center" vertical="center" readingOrder="2"/>
      <protection locked="0"/>
    </xf>
    <xf numFmtId="0" fontId="45" fillId="0" borderId="0" xfId="8" applyFont="1" applyFill="1" applyAlignment="1" applyProtection="1">
      <alignment horizontal="right" readingOrder="2"/>
      <protection locked="0"/>
    </xf>
    <xf numFmtId="0" fontId="46" fillId="0" borderId="73" xfId="8" applyFont="1" applyBorder="1" applyAlignment="1" applyProtection="1">
      <alignment horizontal="center" vertical="center" readingOrder="2"/>
      <protection locked="0"/>
    </xf>
    <xf numFmtId="3" fontId="47" fillId="3" borderId="4" xfId="8" applyNumberFormat="1" applyFont="1" applyFill="1" applyBorder="1" applyAlignment="1" applyProtection="1">
      <alignment horizontal="center" vertical="center" readingOrder="2"/>
      <protection locked="0"/>
    </xf>
    <xf numFmtId="3" fontId="38" fillId="55" borderId="4" xfId="9" applyNumberFormat="1" applyFont="1" applyFill="1" applyBorder="1" applyAlignment="1" applyProtection="1">
      <alignment horizontal="center" vertical="center" shrinkToFit="1"/>
      <protection locked="0"/>
    </xf>
    <xf numFmtId="3" fontId="48" fillId="0" borderId="0" xfId="9" applyNumberFormat="1" applyFont="1" applyFill="1" applyBorder="1" applyAlignment="1" applyProtection="1">
      <alignment horizontal="center" vertical="center" shrinkToFit="1"/>
      <protection locked="0"/>
    </xf>
    <xf numFmtId="9" fontId="48" fillId="0" borderId="0" xfId="9" applyNumberFormat="1" applyFont="1" applyFill="1" applyBorder="1" applyAlignment="1" applyProtection="1">
      <alignment horizontal="center" vertical="center" shrinkToFit="1"/>
      <protection locked="0"/>
    </xf>
    <xf numFmtId="173" fontId="40" fillId="0" borderId="0" xfId="8" applyNumberFormat="1" applyFont="1" applyFill="1" applyAlignment="1" applyProtection="1">
      <alignment horizontal="right" readingOrder="2"/>
      <protection locked="0"/>
    </xf>
    <xf numFmtId="0" fontId="0" fillId="0" borderId="0" xfId="8" applyFont="1" applyFill="1" applyProtection="1">
      <protection locked="0"/>
    </xf>
    <xf numFmtId="0" fontId="45" fillId="0" borderId="0" xfId="8" applyFont="1" applyAlignment="1" applyProtection="1">
      <alignment horizontal="right" readingOrder="2"/>
      <protection locked="0"/>
    </xf>
    <xf numFmtId="0" fontId="46" fillId="0" borderId="74" xfId="8" applyFont="1" applyBorder="1" applyAlignment="1" applyProtection="1">
      <alignment horizontal="center" vertical="center" readingOrder="2"/>
      <protection locked="0"/>
    </xf>
    <xf numFmtId="9" fontId="48" fillId="55" borderId="4" xfId="9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8" applyFont="1" applyAlignment="1" applyProtection="1">
      <alignment horizontal="right" readingOrder="2"/>
      <protection locked="0"/>
    </xf>
    <xf numFmtId="3" fontId="49" fillId="55" borderId="4" xfId="8" applyNumberFormat="1" applyFont="1" applyFill="1" applyBorder="1" applyAlignment="1" applyProtection="1">
      <alignment horizontal="center" vertical="center" readingOrder="2"/>
      <protection locked="0"/>
    </xf>
    <xf numFmtId="0" fontId="40" fillId="0" borderId="0" xfId="8" applyFont="1" applyAlignment="1" applyProtection="1">
      <alignment horizontal="right" readingOrder="2"/>
      <protection locked="0"/>
    </xf>
    <xf numFmtId="0" fontId="35" fillId="0" borderId="0" xfId="8" applyFont="1" applyAlignment="1" applyProtection="1">
      <alignment horizontal="center" vertical="center" readingOrder="2"/>
      <protection locked="0"/>
    </xf>
    <xf numFmtId="3" fontId="41" fillId="0" borderId="4" xfId="8" applyNumberFormat="1" applyFont="1" applyBorder="1" applyAlignment="1" applyProtection="1">
      <alignment horizontal="center" vertical="center" shrinkToFit="1"/>
      <protection locked="0"/>
    </xf>
    <xf numFmtId="3" fontId="48" fillId="0" borderId="4" xfId="9" applyNumberFormat="1" applyFont="1" applyBorder="1" applyAlignment="1" applyProtection="1">
      <alignment horizontal="center" vertical="center" shrinkToFit="1"/>
      <protection locked="0"/>
    </xf>
    <xf numFmtId="9" fontId="44" fillId="0" borderId="4" xfId="10" applyFont="1" applyBorder="1" applyAlignment="1" applyProtection="1">
      <alignment horizontal="center" vertical="center" readingOrder="2"/>
      <protection locked="0"/>
    </xf>
    <xf numFmtId="0" fontId="50" fillId="0" borderId="0" xfId="8" applyFont="1" applyProtection="1">
      <protection locked="0"/>
    </xf>
    <xf numFmtId="0" fontId="51" fillId="0" borderId="0" xfId="8" applyFont="1" applyAlignment="1" applyProtection="1">
      <alignment horizontal="center" vertical="center"/>
      <protection locked="0"/>
    </xf>
  </cellXfs>
  <cellStyles count="225">
    <cellStyle name="20% - Accent1 10" xfId="11"/>
    <cellStyle name="20% - Accent1 11" xfId="12"/>
    <cellStyle name="20% - Accent1 12" xfId="13"/>
    <cellStyle name="20% - Accent1 13" xfId="14"/>
    <cellStyle name="20% - Accent1 2" xfId="15"/>
    <cellStyle name="20% - Accent1 3" xfId="16"/>
    <cellStyle name="20% - Accent1 4" xfId="17"/>
    <cellStyle name="20% - Accent1 5" xfId="18"/>
    <cellStyle name="20% - Accent1 6" xfId="19"/>
    <cellStyle name="20% - Accent1 7" xfId="20"/>
    <cellStyle name="20% - Accent1 8" xfId="21"/>
    <cellStyle name="20% - Accent1 9" xfId="22"/>
    <cellStyle name="20% - Accent2 10" xfId="23"/>
    <cellStyle name="20% - Accent2 11" xfId="24"/>
    <cellStyle name="20% - Accent2 12" xfId="25"/>
    <cellStyle name="20% - Accent2 13" xfId="26"/>
    <cellStyle name="20% - Accent2 2" xfId="27"/>
    <cellStyle name="20% - Accent2 3" xfId="28"/>
    <cellStyle name="20% - Accent2 4" xfId="29"/>
    <cellStyle name="20% - Accent2 5" xfId="30"/>
    <cellStyle name="20% - Accent2 6" xfId="31"/>
    <cellStyle name="20% - Accent2 7" xfId="32"/>
    <cellStyle name="20% - Accent2 8" xfId="33"/>
    <cellStyle name="20% - Accent2 9" xfId="34"/>
    <cellStyle name="20% - Accent3 10" xfId="35"/>
    <cellStyle name="20% - Accent3 11" xfId="36"/>
    <cellStyle name="20% - Accent3 12" xfId="37"/>
    <cellStyle name="20% - Accent3 13" xfId="38"/>
    <cellStyle name="20% - Accent3 2" xfId="39"/>
    <cellStyle name="20% - Accent3 3" xfId="40"/>
    <cellStyle name="20% - Accent3 4" xfId="41"/>
    <cellStyle name="20% - Accent3 5" xfId="42"/>
    <cellStyle name="20% - Accent3 6" xfId="43"/>
    <cellStyle name="20% - Accent3 7" xfId="44"/>
    <cellStyle name="20% - Accent3 8" xfId="45"/>
    <cellStyle name="20% - Accent3 9" xfId="46"/>
    <cellStyle name="20% - Accent4 10" xfId="47"/>
    <cellStyle name="20% - Accent4 11" xfId="48"/>
    <cellStyle name="20% - Accent4 12" xfId="49"/>
    <cellStyle name="20% - Accent4 13" xfId="50"/>
    <cellStyle name="20% - Accent4 2" xfId="51"/>
    <cellStyle name="20% - Accent4 3" xfId="52"/>
    <cellStyle name="20% - Accent4 4" xfId="53"/>
    <cellStyle name="20% - Accent4 5" xfId="54"/>
    <cellStyle name="20% - Accent4 6" xfId="55"/>
    <cellStyle name="20% - Accent4 7" xfId="56"/>
    <cellStyle name="20% - Accent4 8" xfId="57"/>
    <cellStyle name="20% - Accent4 9" xfId="58"/>
    <cellStyle name="20% - Accent5 10" xfId="59"/>
    <cellStyle name="20% - Accent5 11" xfId="60"/>
    <cellStyle name="20% - Accent5 12" xfId="61"/>
    <cellStyle name="20% - Accent5 13" xfId="62"/>
    <cellStyle name="20% - Accent5 2" xfId="63"/>
    <cellStyle name="20% - Accent5 3" xfId="64"/>
    <cellStyle name="20% - Accent5 4" xfId="65"/>
    <cellStyle name="20% - Accent5 5" xfId="66"/>
    <cellStyle name="20% - Accent5 6" xfId="67"/>
    <cellStyle name="20% - Accent5 7" xfId="68"/>
    <cellStyle name="20% - Accent5 8" xfId="69"/>
    <cellStyle name="20% - Accent5 9" xfId="70"/>
    <cellStyle name="20% - Accent6 10" xfId="71"/>
    <cellStyle name="20% - Accent6 11" xfId="72"/>
    <cellStyle name="20% - Accent6 12" xfId="73"/>
    <cellStyle name="20% - Accent6 13" xfId="74"/>
    <cellStyle name="20% - Accent6 2" xfId="75"/>
    <cellStyle name="20% - Accent6 3" xfId="76"/>
    <cellStyle name="20% - Accent6 4" xfId="77"/>
    <cellStyle name="20% - Accent6 5" xfId="78"/>
    <cellStyle name="20% - Accent6 6" xfId="79"/>
    <cellStyle name="20% - Accent6 7" xfId="80"/>
    <cellStyle name="20% - Accent6 8" xfId="81"/>
    <cellStyle name="20% - Accent6 9" xfId="82"/>
    <cellStyle name="40% - Accent1 10" xfId="83"/>
    <cellStyle name="40% - Accent1 11" xfId="84"/>
    <cellStyle name="40% - Accent1 12" xfId="85"/>
    <cellStyle name="40% - Accent1 13" xfId="86"/>
    <cellStyle name="40% - Accent1 2" xfId="87"/>
    <cellStyle name="40% - Accent1 3" xfId="88"/>
    <cellStyle name="40% - Accent1 4" xfId="89"/>
    <cellStyle name="40% - Accent1 5" xfId="90"/>
    <cellStyle name="40% - Accent1 6" xfId="91"/>
    <cellStyle name="40% - Accent1 7" xfId="92"/>
    <cellStyle name="40% - Accent1 8" xfId="93"/>
    <cellStyle name="40% - Accent1 9" xfId="94"/>
    <cellStyle name="40% - Accent2 10" xfId="95"/>
    <cellStyle name="40% - Accent2 11" xfId="96"/>
    <cellStyle name="40% - Accent2 12" xfId="97"/>
    <cellStyle name="40% - Accent2 13" xfId="98"/>
    <cellStyle name="40% - Accent2 2" xfId="99"/>
    <cellStyle name="40% - Accent2 3" xfId="100"/>
    <cellStyle name="40% - Accent2 4" xfId="101"/>
    <cellStyle name="40% - Accent2 5" xfId="102"/>
    <cellStyle name="40% - Accent2 6" xfId="103"/>
    <cellStyle name="40% - Accent2 7" xfId="104"/>
    <cellStyle name="40% - Accent2 8" xfId="105"/>
    <cellStyle name="40% - Accent2 9" xfId="106"/>
    <cellStyle name="40% - Accent3 10" xfId="107"/>
    <cellStyle name="40% - Accent3 11" xfId="108"/>
    <cellStyle name="40% - Accent3 12" xfId="109"/>
    <cellStyle name="40% - Accent3 13" xfId="110"/>
    <cellStyle name="40% - Accent3 2" xfId="111"/>
    <cellStyle name="40% - Accent3 3" xfId="112"/>
    <cellStyle name="40% - Accent3 4" xfId="113"/>
    <cellStyle name="40% - Accent3 5" xfId="114"/>
    <cellStyle name="40% - Accent3 6" xfId="115"/>
    <cellStyle name="40% - Accent3 7" xfId="116"/>
    <cellStyle name="40% - Accent3 8" xfId="117"/>
    <cellStyle name="40% - Accent3 9" xfId="118"/>
    <cellStyle name="40% - Accent4 10" xfId="119"/>
    <cellStyle name="40% - Accent4 11" xfId="120"/>
    <cellStyle name="40% - Accent4 12" xfId="121"/>
    <cellStyle name="40% - Accent4 13" xfId="122"/>
    <cellStyle name="40% - Accent4 2" xfId="123"/>
    <cellStyle name="40% - Accent4 3" xfId="124"/>
    <cellStyle name="40% - Accent4 4" xfId="125"/>
    <cellStyle name="40% - Accent4 5" xfId="126"/>
    <cellStyle name="40% - Accent4 6" xfId="127"/>
    <cellStyle name="40% - Accent4 7" xfId="128"/>
    <cellStyle name="40% - Accent4 8" xfId="129"/>
    <cellStyle name="40% - Accent4 9" xfId="130"/>
    <cellStyle name="40% - Accent5 10" xfId="131"/>
    <cellStyle name="40% - Accent5 11" xfId="132"/>
    <cellStyle name="40% - Accent5 12" xfId="133"/>
    <cellStyle name="40% - Accent5 13" xfId="134"/>
    <cellStyle name="40% - Accent5 2" xfId="135"/>
    <cellStyle name="40% - Accent5 3" xfId="136"/>
    <cellStyle name="40% - Accent5 4" xfId="137"/>
    <cellStyle name="40% - Accent5 5" xfId="138"/>
    <cellStyle name="40% - Accent5 6" xfId="139"/>
    <cellStyle name="40% - Accent5 7" xfId="140"/>
    <cellStyle name="40% - Accent5 8" xfId="141"/>
    <cellStyle name="40% - Accent5 9" xfId="142"/>
    <cellStyle name="40% - Accent6 10" xfId="143"/>
    <cellStyle name="40% - Accent6 11" xfId="144"/>
    <cellStyle name="40% - Accent6 12" xfId="145"/>
    <cellStyle name="40% - Accent6 13" xfId="146"/>
    <cellStyle name="40% - Accent6 2" xfId="147"/>
    <cellStyle name="40% - Accent6 3" xfId="148"/>
    <cellStyle name="40% - Accent6 4" xfId="149"/>
    <cellStyle name="40% - Accent6 5" xfId="150"/>
    <cellStyle name="40% - Accent6 6" xfId="151"/>
    <cellStyle name="40% - Accent6 7" xfId="152"/>
    <cellStyle name="40% - Accent6 8" xfId="153"/>
    <cellStyle name="40% - Accent6 9" xfId="154"/>
    <cellStyle name="60% - Accent1 2" xfId="155"/>
    <cellStyle name="60% - Accent1 3" xfId="156"/>
    <cellStyle name="60% - Accent2 2" xfId="157"/>
    <cellStyle name="60% - Accent2 3" xfId="158"/>
    <cellStyle name="60% - Accent3 2" xfId="159"/>
    <cellStyle name="60% - Accent3 3" xfId="160"/>
    <cellStyle name="60% - Accent4 2" xfId="161"/>
    <cellStyle name="60% - Accent4 3" xfId="162"/>
    <cellStyle name="60% - Accent5 2" xfId="163"/>
    <cellStyle name="60% - Accent5 3" xfId="164"/>
    <cellStyle name="60% - Accent6 2" xfId="165"/>
    <cellStyle name="60% - Accent6 3" xfId="166"/>
    <cellStyle name="Accent1 2" xfId="167"/>
    <cellStyle name="Accent1 3" xfId="168"/>
    <cellStyle name="Accent2 2" xfId="169"/>
    <cellStyle name="Accent2 3" xfId="170"/>
    <cellStyle name="Accent3 2" xfId="171"/>
    <cellStyle name="Accent3 3" xfId="172"/>
    <cellStyle name="Accent4 2" xfId="173"/>
    <cellStyle name="Accent4 3" xfId="174"/>
    <cellStyle name="Accent5 2" xfId="175"/>
    <cellStyle name="Accent5 3" xfId="176"/>
    <cellStyle name="Accent6 2" xfId="177"/>
    <cellStyle name="Accent6 3" xfId="178"/>
    <cellStyle name="Bad 2" xfId="179"/>
    <cellStyle name="Bad 3" xfId="180"/>
    <cellStyle name="Calculation 2" xfId="181"/>
    <cellStyle name="Check Cell 2" xfId="182"/>
    <cellStyle name="Comma" xfId="6" builtinId="3"/>
    <cellStyle name="Comma 2" xfId="183"/>
    <cellStyle name="Comma 3" xfId="184"/>
    <cellStyle name="Comma 4" xfId="185"/>
    <cellStyle name="Comma 5" xfId="186"/>
    <cellStyle name="Comma 6" xfId="187"/>
    <cellStyle name="Comma 7" xfId="188"/>
    <cellStyle name="Explanatory Text 2" xfId="189"/>
    <cellStyle name="Explanatory Text 3" xfId="190"/>
    <cellStyle name="Good 2" xfId="191"/>
    <cellStyle name="Good 3" xfId="192"/>
    <cellStyle name="Heading 1 2" xfId="193"/>
    <cellStyle name="Heading 2 2" xfId="194"/>
    <cellStyle name="Heading 3 2" xfId="195"/>
    <cellStyle name="Heading 4 2" xfId="196"/>
    <cellStyle name="Heading 4 3" xfId="197"/>
    <cellStyle name="Input 2" xfId="198"/>
    <cellStyle name="Linked Cell 2" xfId="199"/>
    <cellStyle name="Neutral 2" xfId="200"/>
    <cellStyle name="Neutral 3" xfId="201"/>
    <cellStyle name="Normal" xfId="0" builtinId="0"/>
    <cellStyle name="Normal 10" xfId="1"/>
    <cellStyle name="Normal 2" xfId="3"/>
    <cellStyle name="Normal 2 2" xfId="8"/>
    <cellStyle name="Normal 3" xfId="202"/>
    <cellStyle name="Normal 4" xfId="203"/>
    <cellStyle name="Normal 4 2" xfId="9"/>
    <cellStyle name="Normal 5" xfId="204"/>
    <cellStyle name="Normal 6" xfId="205"/>
    <cellStyle name="Normal 7" xfId="206"/>
    <cellStyle name="Normal_بودجه 1387" xfId="5"/>
    <cellStyle name="Normal_بودجه 87 ستاد" xfId="4"/>
    <cellStyle name="Note 10" xfId="207"/>
    <cellStyle name="Note 11" xfId="208"/>
    <cellStyle name="Note 12" xfId="209"/>
    <cellStyle name="Note 13" xfId="210"/>
    <cellStyle name="Note 2" xfId="211"/>
    <cellStyle name="Note 3" xfId="212"/>
    <cellStyle name="Note 4" xfId="213"/>
    <cellStyle name="Note 5" xfId="214"/>
    <cellStyle name="Note 6" xfId="215"/>
    <cellStyle name="Note 7" xfId="216"/>
    <cellStyle name="Note 8" xfId="217"/>
    <cellStyle name="Note 9" xfId="218"/>
    <cellStyle name="Output 2" xfId="219"/>
    <cellStyle name="Percent" xfId="7" builtinId="5"/>
    <cellStyle name="Percent 2" xfId="2"/>
    <cellStyle name="Percent 2 2" xfId="10"/>
    <cellStyle name="Title 2" xfId="220"/>
    <cellStyle name="Title 3" xfId="221"/>
    <cellStyle name="Total 2" xfId="222"/>
    <cellStyle name="Warning Text 2" xfId="223"/>
    <cellStyle name="Warning Text 3" xfId="22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587;&#1604;&#1575;&#1605;&#1740;\&#1576;&#1608;&#1583;&#1580;&#1607;%20&#1575;&#1589;&#1604;&#1575;&#1581;&#1610;%20&#1588;&#1605;&#1575;&#1585;&#1607;%202&#1575;&#1589;&#1604;&#161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570;&#1602;&#1575;&#1740;%20&#1582;&#1604;&#1740;&#1604;%20&#1586;&#1575;&#1583;&#1607;\&#1601;&#1575;&#1740;&#1604;%20&#1607;&#1605;&#1705;&#1575;&#1585;&#1575;&#1606;\&#1711;&#1586;&#1575;&#1585;&#1588;%20&#1605;&#1591;&#1575;&#1576;&#1602;&#1578;%20&#1593;&#1605;&#1604;&#1705;&#1585;&#1583;-&#1576;&#1608;&#1583;&#1580;&#1607;1401\&#1711;&#1586;&#1575;&#1585;&#1588;%20&#1593;&#1605;&#1604;&#1705;&#1585;&#1583;&#1587;&#1607;%20&#1605;&#1575;&#1607;&#1607;1401_v1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ترازنامه(1)"/>
      <sheetName val="صورت سود وزيان(3)"/>
      <sheetName val="صورت سود وزيان(4)"/>
      <sheetName val="درآمدها(3"/>
      <sheetName val="درآمدها11"/>
      <sheetName val="بهای تمام شده 4"/>
      <sheetName val="هزينه هاي عمومي اداري(5)"/>
      <sheetName val="ساير درآمدها  عملياتي(6)"/>
      <sheetName val="هزينه هاي مالي(7)"/>
      <sheetName val="ساير درآمدها غیر عملياتي(8)"/>
      <sheetName val="بودجه نقدي سناریوی چهارم9"/>
      <sheetName val="جدول سرمایه گذاری10"/>
      <sheetName val="آمار کارکنان11"/>
      <sheetName val="برنامه تامین سرمایه (1-1)"/>
      <sheetName val="تقیسم سود (13)"/>
      <sheetName val="برنامه های ستادی (14)"/>
      <sheetName val="اطلاعات سهامدارن(15) "/>
      <sheetName val="برنامه خدمات (16)"/>
      <sheetName val="برنامه تامین منابع حکمت(1-16)"/>
      <sheetName val="برنامه یارانه مستقیم (17)"/>
      <sheetName val="برنامه مصارف (18)"/>
      <sheetName val="برنامه منابع  (19)"/>
      <sheetName val="مشخصات عمومی پروژ (20)"/>
      <sheetName val="Sheet2"/>
      <sheetName val="Sheet3"/>
    </sheetNames>
    <sheetDataSet>
      <sheetData sheetId="0"/>
      <sheetData sheetId="1"/>
      <sheetData sheetId="2"/>
      <sheetData sheetId="3"/>
      <sheetData sheetId="4">
        <row r="11">
          <cell r="D11">
            <v>2525</v>
          </cell>
        </row>
      </sheetData>
      <sheetData sheetId="5">
        <row r="24">
          <cell r="J24">
            <v>4080000</v>
          </cell>
          <cell r="P24">
            <v>16110000</v>
          </cell>
        </row>
      </sheetData>
      <sheetData sheetId="6">
        <row r="21">
          <cell r="D21">
            <v>11745963</v>
          </cell>
        </row>
      </sheetData>
      <sheetData sheetId="7">
        <row r="48">
          <cell r="C48">
            <v>41260</v>
          </cell>
          <cell r="I48">
            <v>45410.799999999996</v>
          </cell>
        </row>
      </sheetData>
      <sheetData sheetId="8">
        <row r="8">
          <cell r="I8">
            <v>180000</v>
          </cell>
        </row>
      </sheetData>
      <sheetData sheetId="9">
        <row r="17">
          <cell r="I17">
            <v>6588329</v>
          </cell>
        </row>
      </sheetData>
      <sheetData sheetId="10">
        <row r="16">
          <cell r="C16">
            <v>6550</v>
          </cell>
          <cell r="I16">
            <v>4000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فعالیت"/>
      <sheetName val="ریز فعالیت"/>
      <sheetName val="3 ماهه"/>
      <sheetName val="هزینه سه ماهه اول"/>
      <sheetName val="Sheet2"/>
      <sheetName val="Sheet1 (2)"/>
      <sheetName val="سه ماه دوم"/>
      <sheetName val="تعمیرات جزئی ساختمان"/>
      <sheetName val="تعمیر ونگهداری تجهیزات اداری"/>
      <sheetName val="پاداش وهدایا"/>
      <sheetName val="اجاره لایسنس و خرید دامنه و .."/>
      <sheetName val="تجهیزات جاری و پشتیبانی فناوری"/>
      <sheetName val="آشپزخانه"/>
      <sheetName val="Sheet1"/>
    </sheetNames>
    <sheetDataSet>
      <sheetData sheetId="0"/>
      <sheetData sheetId="1"/>
      <sheetData sheetId="2">
        <row r="23">
          <cell r="E23">
            <v>387978563</v>
          </cell>
          <cell r="F23">
            <v>2023955585</v>
          </cell>
          <cell r="G23">
            <v>1775563775</v>
          </cell>
        </row>
        <row r="32">
          <cell r="E32">
            <v>301566004</v>
          </cell>
          <cell r="F32">
            <v>925871000</v>
          </cell>
          <cell r="G32">
            <v>278127200</v>
          </cell>
        </row>
        <row r="59">
          <cell r="E59">
            <v>0</v>
          </cell>
          <cell r="F59">
            <v>97990000</v>
          </cell>
          <cell r="G59">
            <v>176500000</v>
          </cell>
        </row>
        <row r="64">
          <cell r="E64">
            <v>1444843500</v>
          </cell>
          <cell r="F64">
            <v>558023800</v>
          </cell>
          <cell r="G64">
            <v>4193258084</v>
          </cell>
        </row>
      </sheetData>
      <sheetData sheetId="3">
        <row r="2">
          <cell r="E2">
            <v>28911000</v>
          </cell>
          <cell r="F2">
            <v>23670000</v>
          </cell>
          <cell r="G2">
            <v>0</v>
          </cell>
        </row>
        <row r="3">
          <cell r="E3">
            <v>0</v>
          </cell>
          <cell r="F3">
            <v>9384682</v>
          </cell>
          <cell r="G3">
            <v>552370</v>
          </cell>
        </row>
        <row r="4">
          <cell r="E4">
            <v>0</v>
          </cell>
          <cell r="F4">
            <v>119954151</v>
          </cell>
          <cell r="G4">
            <v>163789573</v>
          </cell>
        </row>
        <row r="5">
          <cell r="E5">
            <v>1733042</v>
          </cell>
          <cell r="F5">
            <v>3037682</v>
          </cell>
          <cell r="G5">
            <v>4635426</v>
          </cell>
        </row>
        <row r="6">
          <cell r="E6">
            <v>130000000</v>
          </cell>
          <cell r="F6">
            <v>347575000</v>
          </cell>
          <cell r="G6">
            <v>489106000</v>
          </cell>
        </row>
        <row r="7">
          <cell r="E7">
            <v>17924000</v>
          </cell>
          <cell r="F7">
            <v>19867000</v>
          </cell>
          <cell r="G7">
            <v>40607000</v>
          </cell>
        </row>
        <row r="8">
          <cell r="E8">
            <v>56175000</v>
          </cell>
          <cell r="F8">
            <v>6200000</v>
          </cell>
          <cell r="G8">
            <v>123958000</v>
          </cell>
        </row>
        <row r="9">
          <cell r="E9">
            <v>6170000</v>
          </cell>
          <cell r="F9">
            <v>9870000</v>
          </cell>
          <cell r="G9">
            <v>46970000</v>
          </cell>
        </row>
        <row r="10">
          <cell r="E10">
            <v>0</v>
          </cell>
          <cell r="F10">
            <v>151132000</v>
          </cell>
          <cell r="G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</row>
        <row r="12">
          <cell r="E12">
            <v>0</v>
          </cell>
          <cell r="F12">
            <v>0</v>
          </cell>
          <cell r="G12">
            <v>256150</v>
          </cell>
        </row>
        <row r="14">
          <cell r="E14">
            <v>0</v>
          </cell>
          <cell r="F14">
            <v>2700000</v>
          </cell>
          <cell r="G14">
            <v>0</v>
          </cell>
        </row>
        <row r="15">
          <cell r="E15">
            <v>38820000</v>
          </cell>
          <cell r="F15">
            <v>33650000</v>
          </cell>
          <cell r="G15">
            <v>29550000</v>
          </cell>
        </row>
        <row r="16">
          <cell r="E16">
            <v>10000000</v>
          </cell>
          <cell r="F16">
            <v>254221000</v>
          </cell>
          <cell r="G16">
            <v>48250000</v>
          </cell>
        </row>
        <row r="17">
          <cell r="E17">
            <v>48246000</v>
          </cell>
        </row>
        <row r="18">
          <cell r="E18">
            <v>26500000</v>
          </cell>
          <cell r="F18">
            <v>2200000</v>
          </cell>
          <cell r="G18">
            <v>3627200</v>
          </cell>
        </row>
        <row r="19">
          <cell r="E19">
            <v>0</v>
          </cell>
          <cell r="F19">
            <v>6940820</v>
          </cell>
          <cell r="G19">
            <v>34716556</v>
          </cell>
        </row>
        <row r="20">
          <cell r="E20">
            <v>0</v>
          </cell>
          <cell r="F20">
            <v>140245000</v>
          </cell>
          <cell r="G20">
            <v>0</v>
          </cell>
        </row>
        <row r="21">
          <cell r="E21">
            <v>301983800</v>
          </cell>
          <cell r="F21">
            <v>155675800</v>
          </cell>
          <cell r="G21">
            <v>78853560</v>
          </cell>
        </row>
        <row r="22">
          <cell r="E22">
            <v>0</v>
          </cell>
          <cell r="F22">
            <v>4650000</v>
          </cell>
          <cell r="G22">
            <v>40190000</v>
          </cell>
        </row>
        <row r="23">
          <cell r="E23">
            <v>0</v>
          </cell>
          <cell r="F23">
            <v>0</v>
          </cell>
          <cell r="G23">
            <v>16980000</v>
          </cell>
        </row>
        <row r="24">
          <cell r="E24">
            <v>0</v>
          </cell>
          <cell r="F24">
            <v>183500000</v>
          </cell>
          <cell r="G24">
            <v>178500000</v>
          </cell>
        </row>
        <row r="26">
          <cell r="E26">
            <v>29530000</v>
          </cell>
          <cell r="F26">
            <v>50025000</v>
          </cell>
          <cell r="G26">
            <v>29090000</v>
          </cell>
        </row>
        <row r="27">
          <cell r="E27">
            <v>0</v>
          </cell>
          <cell r="F27">
            <v>0</v>
          </cell>
        </row>
        <row r="28">
          <cell r="E28">
            <v>0</v>
          </cell>
          <cell r="F28">
            <v>97990000</v>
          </cell>
          <cell r="G28">
            <v>43520000</v>
          </cell>
        </row>
        <row r="29">
          <cell r="E29">
            <v>178000004</v>
          </cell>
          <cell r="F29">
            <v>184500000</v>
          </cell>
          <cell r="G29">
            <v>110100000</v>
          </cell>
        </row>
        <row r="30">
          <cell r="E30">
            <v>0</v>
          </cell>
          <cell r="F30">
            <v>54152700</v>
          </cell>
          <cell r="G30">
            <v>20902000</v>
          </cell>
        </row>
        <row r="31">
          <cell r="E31">
            <v>0</v>
          </cell>
          <cell r="F31">
            <v>27250000</v>
          </cell>
          <cell r="G31">
            <v>0</v>
          </cell>
        </row>
        <row r="32">
          <cell r="E32">
            <v>0</v>
          </cell>
          <cell r="F32">
            <v>5000000</v>
          </cell>
          <cell r="G32">
            <v>5000000</v>
          </cell>
        </row>
        <row r="33">
          <cell r="E33">
            <v>62420035</v>
          </cell>
          <cell r="F33">
            <v>638045000</v>
          </cell>
          <cell r="G33">
            <v>112520000</v>
          </cell>
        </row>
        <row r="34">
          <cell r="E34">
            <v>28070000</v>
          </cell>
          <cell r="F34">
            <v>0</v>
          </cell>
          <cell r="G34">
            <v>0</v>
          </cell>
        </row>
        <row r="35">
          <cell r="E35">
            <v>817307558</v>
          </cell>
          <cell r="F35">
            <v>0</v>
          </cell>
          <cell r="G35">
            <v>649800000</v>
          </cell>
        </row>
        <row r="37">
          <cell r="E37">
            <v>50000000</v>
          </cell>
          <cell r="F37">
            <v>0</v>
          </cell>
          <cell r="G37">
            <v>357561224</v>
          </cell>
        </row>
        <row r="44">
          <cell r="E44">
            <v>393600</v>
          </cell>
          <cell r="F44">
            <v>720000</v>
          </cell>
          <cell r="G44">
            <v>526200</v>
          </cell>
        </row>
        <row r="46">
          <cell r="E46">
            <v>0</v>
          </cell>
          <cell r="F46">
            <v>0</v>
          </cell>
          <cell r="G46">
            <v>359494500</v>
          </cell>
        </row>
        <row r="47">
          <cell r="E47">
            <v>43000000</v>
          </cell>
          <cell r="F47">
            <v>0</v>
          </cell>
          <cell r="G47">
            <v>0</v>
          </cell>
        </row>
        <row r="50">
          <cell r="E50">
            <v>155132700</v>
          </cell>
          <cell r="F50">
            <v>18864000</v>
          </cell>
          <cell r="G50">
            <v>1766979800</v>
          </cell>
        </row>
        <row r="51">
          <cell r="E51">
            <v>46000000</v>
          </cell>
          <cell r="F51">
            <v>133200000</v>
          </cell>
          <cell r="G51">
            <v>254500000</v>
          </cell>
        </row>
        <row r="52">
          <cell r="E52">
            <v>405000000</v>
          </cell>
          <cell r="F52">
            <v>5107572305</v>
          </cell>
          <cell r="G52">
            <v>3006168765</v>
          </cell>
        </row>
        <row r="55">
          <cell r="E55">
            <v>937727000</v>
          </cell>
          <cell r="F55">
            <v>348800000</v>
          </cell>
          <cell r="G55">
            <v>1820297500</v>
          </cell>
        </row>
        <row r="56">
          <cell r="E56">
            <v>0</v>
          </cell>
          <cell r="F56">
            <v>7434000</v>
          </cell>
          <cell r="G56">
            <v>453004004</v>
          </cell>
        </row>
        <row r="57">
          <cell r="E57">
            <v>0</v>
          </cell>
          <cell r="F57">
            <v>0</v>
          </cell>
          <cell r="G57">
            <v>27212000</v>
          </cell>
        </row>
        <row r="61">
          <cell r="E61">
            <v>18361001</v>
          </cell>
          <cell r="F61">
            <v>206062644</v>
          </cell>
          <cell r="G61">
            <v>0</v>
          </cell>
        </row>
        <row r="62">
          <cell r="E62">
            <v>2075741458</v>
          </cell>
          <cell r="F62">
            <v>1859247260</v>
          </cell>
          <cell r="G62">
            <v>2386621206</v>
          </cell>
        </row>
        <row r="73">
          <cell r="F73">
            <v>51093906</v>
          </cell>
          <cell r="G73">
            <v>171720000</v>
          </cell>
        </row>
        <row r="74">
          <cell r="E74">
            <v>-28539115</v>
          </cell>
        </row>
        <row r="76">
          <cell r="G76">
            <v>132980000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rightToLeft="1" workbookViewId="0">
      <selection activeCell="E6" sqref="E6"/>
    </sheetView>
  </sheetViews>
  <sheetFormatPr defaultColWidth="34.25" defaultRowHeight="18"/>
  <cols>
    <col min="1" max="1" width="43.75" style="32" customWidth="1"/>
    <col min="2" max="2" width="18.125" style="19" customWidth="1"/>
    <col min="3" max="3" width="17.375" style="19" customWidth="1"/>
    <col min="4" max="4" width="16.375" style="19" customWidth="1"/>
    <col min="5" max="5" width="17.125" style="19" customWidth="1"/>
    <col min="6" max="6" width="18.375" style="19" customWidth="1"/>
    <col min="7" max="7" width="17.625" style="19" customWidth="1"/>
    <col min="8" max="8" width="15.125" style="19" customWidth="1"/>
    <col min="9" max="9" width="16.375" style="19" customWidth="1"/>
    <col min="10" max="10" width="14.625" style="19" customWidth="1"/>
    <col min="11" max="11" width="16.25" style="19" customWidth="1"/>
    <col min="12" max="16384" width="34.25" style="19"/>
  </cols>
  <sheetData>
    <row r="1" spans="1:10" ht="32.25">
      <c r="A1" s="54" t="s">
        <v>0</v>
      </c>
      <c r="B1" s="54"/>
      <c r="C1" s="54"/>
      <c r="D1" s="54"/>
      <c r="E1" s="54"/>
      <c r="F1" s="54"/>
      <c r="G1" s="54"/>
    </row>
    <row r="2" spans="1:10" ht="32.25">
      <c r="A2" s="54" t="s">
        <v>14</v>
      </c>
      <c r="B2" s="54"/>
      <c r="C2" s="54"/>
      <c r="D2" s="54"/>
      <c r="E2" s="54"/>
      <c r="F2" s="54"/>
      <c r="G2" s="54"/>
    </row>
    <row r="3" spans="1:10" ht="25.5">
      <c r="A3" s="20"/>
      <c r="G3" s="21"/>
    </row>
    <row r="4" spans="1:10" s="22" customFormat="1" ht="25.5">
      <c r="A4" s="55" t="s">
        <v>1</v>
      </c>
      <c r="B4" s="55" t="s">
        <v>15</v>
      </c>
      <c r="C4" s="55" t="s">
        <v>16</v>
      </c>
      <c r="D4" s="57" t="s">
        <v>17</v>
      </c>
      <c r="E4" s="58"/>
      <c r="F4" s="59"/>
      <c r="G4" s="60" t="s">
        <v>18</v>
      </c>
    </row>
    <row r="5" spans="1:10" s="22" customFormat="1" ht="22.5">
      <c r="A5" s="56"/>
      <c r="B5" s="56"/>
      <c r="C5" s="56"/>
      <c r="D5" s="23" t="s">
        <v>19</v>
      </c>
      <c r="E5" s="23" t="s">
        <v>20</v>
      </c>
      <c r="F5" s="23" t="s">
        <v>21</v>
      </c>
      <c r="G5" s="61"/>
    </row>
    <row r="6" spans="1:10" ht="28.5">
      <c r="A6" s="24" t="s">
        <v>22</v>
      </c>
      <c r="B6" s="25">
        <f>'[1]درآمدها(3'!D11</f>
        <v>2525</v>
      </c>
      <c r="C6" s="25">
        <v>3073</v>
      </c>
      <c r="D6" s="25">
        <v>133000</v>
      </c>
      <c r="E6" s="25">
        <v>506000</v>
      </c>
      <c r="F6" s="25">
        <f>E6+D6</f>
        <v>639000</v>
      </c>
      <c r="G6" s="26">
        <f>[1]درآمدها11!P24</f>
        <v>16110000</v>
      </c>
    </row>
    <row r="7" spans="1:10" ht="28.5">
      <c r="A7" s="24" t="s">
        <v>23</v>
      </c>
      <c r="B7" s="25">
        <v>0</v>
      </c>
      <c r="C7" s="25">
        <v>0</v>
      </c>
      <c r="D7" s="25">
        <v>-133000</v>
      </c>
      <c r="E7" s="27">
        <v>-182000</v>
      </c>
      <c r="F7" s="27">
        <f>E7+D7</f>
        <v>-315000</v>
      </c>
      <c r="G7" s="26">
        <f>-'[1]بهای تمام شده 4'!D21</f>
        <v>-11745963</v>
      </c>
    </row>
    <row r="8" spans="1:10" ht="28.5">
      <c r="A8" s="28" t="s">
        <v>4</v>
      </c>
      <c r="B8" s="29">
        <f>B6-B7</f>
        <v>2525</v>
      </c>
      <c r="C8" s="29">
        <f>C6+C7</f>
        <v>3073</v>
      </c>
      <c r="D8" s="29">
        <v>0</v>
      </c>
      <c r="E8" s="29">
        <f>E6+E7</f>
        <v>324000</v>
      </c>
      <c r="F8" s="30">
        <f>E8+D8</f>
        <v>324000</v>
      </c>
      <c r="G8" s="30">
        <f>G6+G7</f>
        <v>4364037</v>
      </c>
    </row>
    <row r="9" spans="1:10" ht="28.5">
      <c r="A9" s="24" t="s">
        <v>5</v>
      </c>
      <c r="B9" s="25">
        <f>-'[1]هزينه هاي عمومي اداري(5)'!C48</f>
        <v>-41260</v>
      </c>
      <c r="C9" s="25">
        <v>-33376</v>
      </c>
      <c r="D9" s="25">
        <v>-17984</v>
      </c>
      <c r="E9" s="25">
        <v>-9529</v>
      </c>
      <c r="F9" s="25">
        <f>E9+D9</f>
        <v>-27513</v>
      </c>
      <c r="G9" s="26">
        <f>-'[1]هزينه هاي عمومي اداري(5)'!I48</f>
        <v>-45410.799999999996</v>
      </c>
      <c r="J9" s="19">
        <v>375068</v>
      </c>
    </row>
    <row r="10" spans="1:10" ht="28.5">
      <c r="A10" s="24" t="s">
        <v>6</v>
      </c>
      <c r="B10" s="25">
        <v>0</v>
      </c>
      <c r="C10" s="25">
        <v>0</v>
      </c>
      <c r="D10" s="25">
        <v>0</v>
      </c>
      <c r="E10" s="25">
        <v>0</v>
      </c>
      <c r="F10" s="25">
        <v>0</v>
      </c>
      <c r="G10" s="26">
        <v>0</v>
      </c>
    </row>
    <row r="11" spans="1:10" ht="28.5">
      <c r="A11" s="24" t="s">
        <v>7</v>
      </c>
      <c r="B11" s="25">
        <v>0</v>
      </c>
      <c r="C11" s="25">
        <v>0</v>
      </c>
      <c r="D11" s="25">
        <v>0</v>
      </c>
      <c r="E11" s="25">
        <v>0</v>
      </c>
      <c r="F11" s="25">
        <v>0</v>
      </c>
      <c r="G11" s="26">
        <f>-'[1]ساير درآمدها  عملياتي(6)'!I8</f>
        <v>-180000</v>
      </c>
    </row>
    <row r="12" spans="1:10" ht="28.5">
      <c r="A12" s="28" t="s">
        <v>8</v>
      </c>
      <c r="B12" s="31">
        <f>B8+B9</f>
        <v>-38735</v>
      </c>
      <c r="C12" s="31">
        <f>C8+C9+C11</f>
        <v>-30303</v>
      </c>
      <c r="D12" s="26">
        <f t="shared" ref="D12" si="0">D8+D9</f>
        <v>-17984</v>
      </c>
      <c r="E12" s="26">
        <f>E8+E9+E11</f>
        <v>314471</v>
      </c>
      <c r="F12" s="26">
        <f>F8+F9+F11</f>
        <v>296487</v>
      </c>
      <c r="G12" s="26">
        <f>G8+G9+G11</f>
        <v>4138626.2</v>
      </c>
    </row>
    <row r="13" spans="1:10" ht="28.5">
      <c r="A13" s="24" t="s">
        <v>9</v>
      </c>
      <c r="B13" s="25">
        <v>-4496937</v>
      </c>
      <c r="C13" s="25">
        <v>-5190835</v>
      </c>
      <c r="D13" s="25">
        <v>-4941246</v>
      </c>
      <c r="E13" s="25">
        <v>-1647083</v>
      </c>
      <c r="F13" s="25">
        <f>E13+D13</f>
        <v>-6588329</v>
      </c>
      <c r="G13" s="26">
        <f>-'[1]هزينه هاي مالي(7)'!I17</f>
        <v>-6588329</v>
      </c>
    </row>
    <row r="14" spans="1:10" ht="28.5">
      <c r="A14" s="24" t="s">
        <v>10</v>
      </c>
      <c r="B14" s="25">
        <f>'[1]ساير درآمدها غیر عملياتي(8)'!C16</f>
        <v>6550</v>
      </c>
      <c r="C14" s="25">
        <v>6054</v>
      </c>
      <c r="D14" s="25">
        <v>2500</v>
      </c>
      <c r="E14" s="25">
        <v>36</v>
      </c>
      <c r="F14" s="25">
        <f>E14+D14</f>
        <v>2536</v>
      </c>
      <c r="G14" s="26">
        <f>'[1]ساير درآمدها غیر عملياتي(8)'!I16</f>
        <v>4000</v>
      </c>
    </row>
    <row r="15" spans="1:10" ht="28.5">
      <c r="A15" s="28" t="s">
        <v>11</v>
      </c>
      <c r="B15" s="26">
        <f>SUM(B12:B14)</f>
        <v>-4529122</v>
      </c>
      <c r="C15" s="26">
        <f>C12+C13+C14</f>
        <v>-5215084</v>
      </c>
      <c r="D15" s="26">
        <f t="shared" ref="D15:E15" si="1">SUM(D12:D14)</f>
        <v>-4956730</v>
      </c>
      <c r="E15" s="26">
        <f t="shared" si="1"/>
        <v>-1332576</v>
      </c>
      <c r="F15" s="26">
        <f t="shared" ref="F15" si="2">SUM(F12:F14)</f>
        <v>-6289306</v>
      </c>
      <c r="G15" s="26">
        <f>SUM(G12:G14)</f>
        <v>-2445702.7999999998</v>
      </c>
    </row>
    <row r="16" spans="1:10" ht="28.5">
      <c r="A16" s="24" t="s">
        <v>12</v>
      </c>
      <c r="B16" s="25"/>
      <c r="C16" s="25">
        <v>0</v>
      </c>
      <c r="D16" s="25"/>
      <c r="E16" s="25"/>
      <c r="F16" s="25">
        <v>0</v>
      </c>
      <c r="G16" s="26">
        <v>0</v>
      </c>
    </row>
    <row r="17" spans="1:7" ht="28.5">
      <c r="A17" s="28" t="s">
        <v>13</v>
      </c>
      <c r="B17" s="26">
        <f>B15+B16</f>
        <v>-4529122</v>
      </c>
      <c r="C17" s="26">
        <f t="shared" ref="C17:G17" si="3">C15+C16</f>
        <v>-5215084</v>
      </c>
      <c r="D17" s="26">
        <f t="shared" si="3"/>
        <v>-4956730</v>
      </c>
      <c r="E17" s="26">
        <f t="shared" si="3"/>
        <v>-1332576</v>
      </c>
      <c r="F17" s="26">
        <f t="shared" si="3"/>
        <v>-6289306</v>
      </c>
      <c r="G17" s="26">
        <f t="shared" si="3"/>
        <v>-2445702.7999999998</v>
      </c>
    </row>
    <row r="18" spans="1:7">
      <c r="B18" s="33"/>
      <c r="C18" s="33"/>
      <c r="D18" s="33"/>
      <c r="E18" s="33"/>
      <c r="F18" s="33"/>
    </row>
    <row r="19" spans="1:7" s="35" customFormat="1" ht="26.25">
      <c r="A19" s="34"/>
      <c r="F19" s="36"/>
      <c r="G19" s="37"/>
    </row>
    <row r="20" spans="1:7" ht="26.25">
      <c r="A20" s="34"/>
      <c r="B20" s="34"/>
      <c r="C20" s="34"/>
      <c r="D20" s="34"/>
      <c r="E20" s="34"/>
      <c r="F20" s="38"/>
      <c r="G20" s="37"/>
    </row>
    <row r="21" spans="1:7" ht="24">
      <c r="A21" s="34"/>
      <c r="B21" s="34"/>
      <c r="C21" s="34"/>
      <c r="D21" s="34"/>
      <c r="E21" s="34"/>
      <c r="F21" s="39"/>
      <c r="G21" s="34"/>
    </row>
    <row r="25" spans="1:7">
      <c r="A25" s="40"/>
      <c r="B25" s="40"/>
      <c r="C25" s="40"/>
      <c r="D25" s="40"/>
      <c r="E25" s="40"/>
      <c r="F25" s="40"/>
    </row>
    <row r="26" spans="1:7">
      <c r="A26" s="40"/>
      <c r="B26" s="41"/>
      <c r="C26" s="41"/>
      <c r="D26" s="41"/>
      <c r="E26" s="41"/>
      <c r="F26" s="41"/>
    </row>
    <row r="27" spans="1:7">
      <c r="A27" s="40"/>
      <c r="B27" s="40"/>
      <c r="C27" s="40"/>
      <c r="D27" s="40"/>
      <c r="E27" s="40"/>
      <c r="F27" s="40"/>
    </row>
    <row r="28" spans="1:7">
      <c r="A28" s="40"/>
      <c r="B28" s="40"/>
      <c r="C28" s="40"/>
      <c r="D28" s="40"/>
      <c r="E28" s="40"/>
      <c r="F28" s="40"/>
    </row>
    <row r="29" spans="1:7">
      <c r="A29" s="40"/>
      <c r="B29" s="40"/>
      <c r="C29" s="40"/>
      <c r="D29" s="40"/>
      <c r="E29" s="40"/>
      <c r="F29" s="40"/>
    </row>
    <row r="30" spans="1:7">
      <c r="A30" s="40"/>
      <c r="B30" s="40"/>
      <c r="C30" s="40"/>
      <c r="D30" s="40"/>
      <c r="E30" s="40"/>
      <c r="F30" s="40"/>
    </row>
    <row r="31" spans="1:7">
      <c r="A31" s="40"/>
      <c r="B31" s="40"/>
      <c r="C31" s="40"/>
      <c r="D31" s="40"/>
      <c r="E31" s="40"/>
      <c r="F31" s="40"/>
    </row>
    <row r="32" spans="1:7">
      <c r="A32" s="40"/>
      <c r="B32" s="40"/>
      <c r="C32" s="40"/>
      <c r="D32" s="40"/>
      <c r="E32" s="40"/>
      <c r="F32" s="40"/>
    </row>
    <row r="33" spans="1:6">
      <c r="A33" s="40"/>
      <c r="B33" s="40"/>
      <c r="C33" s="40"/>
      <c r="D33" s="40"/>
      <c r="E33" s="40"/>
      <c r="F33" s="40"/>
    </row>
    <row r="34" spans="1:6">
      <c r="A34" s="40"/>
      <c r="B34" s="40"/>
      <c r="C34" s="40"/>
      <c r="D34" s="40"/>
      <c r="E34" s="40"/>
      <c r="F34" s="40"/>
    </row>
  </sheetData>
  <mergeCells count="7">
    <mergeCell ref="A1:G1"/>
    <mergeCell ref="A2:G2"/>
    <mergeCell ref="A4:A5"/>
    <mergeCell ref="B4:B5"/>
    <mergeCell ref="C4:C5"/>
    <mergeCell ref="D4:F4"/>
    <mergeCell ref="G4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rightToLeft="1" workbookViewId="0">
      <selection activeCell="B11" sqref="B11"/>
    </sheetView>
  </sheetViews>
  <sheetFormatPr defaultColWidth="34.25" defaultRowHeight="18"/>
  <cols>
    <col min="1" max="1" width="2.125" style="19" customWidth="1"/>
    <col min="2" max="2" width="34.25" style="32" customWidth="1"/>
    <col min="3" max="3" width="15" style="19" customWidth="1"/>
    <col min="4" max="4" width="14.375" style="19" customWidth="1"/>
    <col min="5" max="5" width="13.75" style="19" customWidth="1"/>
    <col min="6" max="6" width="13.375" style="19" customWidth="1"/>
    <col min="7" max="7" width="15.625" style="19" customWidth="1"/>
    <col min="8" max="8" width="16" style="19" customWidth="1"/>
    <col min="9" max="9" width="18.125" style="19" customWidth="1"/>
    <col min="10" max="10" width="16.375" style="19" customWidth="1"/>
    <col min="11" max="11" width="14.625" style="19" customWidth="1"/>
    <col min="12" max="12" width="16.25" style="19" customWidth="1"/>
    <col min="13" max="16384" width="34.25" style="19"/>
  </cols>
  <sheetData>
    <row r="1" spans="2:11" ht="33" thickBot="1">
      <c r="B1" s="54" t="s">
        <v>24</v>
      </c>
      <c r="C1" s="54"/>
      <c r="D1" s="54"/>
      <c r="E1" s="54"/>
      <c r="F1" s="54"/>
      <c r="G1" s="54"/>
      <c r="H1" s="54"/>
      <c r="I1" s="54"/>
    </row>
    <row r="2" spans="2:11" s="22" customFormat="1" ht="21">
      <c r="B2" s="62" t="s">
        <v>1</v>
      </c>
      <c r="C2" s="64" t="s">
        <v>25</v>
      </c>
      <c r="D2" s="64" t="s">
        <v>26</v>
      </c>
      <c r="E2" s="64" t="s">
        <v>27</v>
      </c>
      <c r="F2" s="64" t="s">
        <v>28</v>
      </c>
      <c r="G2" s="64" t="s">
        <v>29</v>
      </c>
      <c r="H2" s="66" t="s">
        <v>30</v>
      </c>
      <c r="I2" s="68" t="s">
        <v>31</v>
      </c>
    </row>
    <row r="3" spans="2:11" s="22" customFormat="1" ht="21">
      <c r="B3" s="63"/>
      <c r="C3" s="65"/>
      <c r="D3" s="65"/>
      <c r="E3" s="65"/>
      <c r="F3" s="65"/>
      <c r="G3" s="65"/>
      <c r="H3" s="67"/>
      <c r="I3" s="69"/>
    </row>
    <row r="4" spans="2:11" ht="28.5">
      <c r="B4" s="42" t="s">
        <v>22</v>
      </c>
      <c r="C4" s="25">
        <v>11000</v>
      </c>
      <c r="D4" s="25">
        <v>0</v>
      </c>
      <c r="E4" s="25">
        <v>1342500</v>
      </c>
      <c r="F4" s="25">
        <v>0</v>
      </c>
      <c r="G4" s="25">
        <v>13425000</v>
      </c>
      <c r="H4" s="27">
        <v>133000</v>
      </c>
      <c r="I4" s="43"/>
    </row>
    <row r="5" spans="2:11" ht="28.5">
      <c r="B5" s="42" t="s">
        <v>23</v>
      </c>
      <c r="C5" s="25">
        <v>0</v>
      </c>
      <c r="D5" s="25">
        <v>0</v>
      </c>
      <c r="E5" s="25">
        <v>-978830</v>
      </c>
      <c r="F5" s="27">
        <v>0</v>
      </c>
      <c r="G5" s="44">
        <v>-9788303</v>
      </c>
      <c r="H5" s="27">
        <v>-133000</v>
      </c>
      <c r="I5" s="43"/>
    </row>
    <row r="6" spans="2:11" ht="28.5">
      <c r="B6" s="45" t="s">
        <v>4</v>
      </c>
      <c r="C6" s="29">
        <f>C4-C5</f>
        <v>11000</v>
      </c>
      <c r="D6" s="29">
        <f t="shared" ref="D6" si="0">D4-D5</f>
        <v>0</v>
      </c>
      <c r="E6" s="29">
        <f>E4+E5</f>
        <v>363670</v>
      </c>
      <c r="F6" s="29">
        <f>F4+F5</f>
        <v>0</v>
      </c>
      <c r="G6" s="29">
        <f>G4+G5</f>
        <v>3636697</v>
      </c>
      <c r="H6" s="29">
        <f>H4+H5</f>
        <v>0</v>
      </c>
      <c r="I6" s="43"/>
    </row>
    <row r="7" spans="2:11" ht="28.5">
      <c r="B7" s="42" t="s">
        <v>5</v>
      </c>
      <c r="C7" s="25">
        <v>-3745</v>
      </c>
      <c r="D7" s="25">
        <v>-1976</v>
      </c>
      <c r="E7" s="25">
        <v>-3784</v>
      </c>
      <c r="F7" s="25">
        <v>-1492</v>
      </c>
      <c r="G7" s="25">
        <v>-37843</v>
      </c>
      <c r="H7" s="27">
        <v>-19476</v>
      </c>
      <c r="I7" s="43"/>
      <c r="K7" s="19">
        <v>375068</v>
      </c>
    </row>
    <row r="8" spans="2:11" ht="28.5">
      <c r="B8" s="42" t="s">
        <v>6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7">
        <v>0</v>
      </c>
      <c r="I8" s="43"/>
    </row>
    <row r="9" spans="2:11" ht="28.5">
      <c r="B9" s="46" t="s">
        <v>7</v>
      </c>
      <c r="C9" s="25">
        <v>0</v>
      </c>
      <c r="D9" s="25">
        <v>0</v>
      </c>
      <c r="E9" s="25">
        <v>-15000</v>
      </c>
      <c r="F9" s="25">
        <v>0</v>
      </c>
      <c r="G9" s="25">
        <v>-150000</v>
      </c>
      <c r="H9" s="27">
        <v>0</v>
      </c>
      <c r="I9" s="43"/>
    </row>
    <row r="10" spans="2:11" ht="28.5">
      <c r="B10" s="45" t="s">
        <v>8</v>
      </c>
      <c r="C10" s="31">
        <f>C6+C7</f>
        <v>7255</v>
      </c>
      <c r="D10" s="31">
        <f>D6+D7</f>
        <v>-1976</v>
      </c>
      <c r="E10" s="31">
        <f>E6+E7+E9</f>
        <v>344886</v>
      </c>
      <c r="F10" s="31">
        <f>F6+F7+F9</f>
        <v>-1492</v>
      </c>
      <c r="G10" s="31">
        <f>G6+G7+G9</f>
        <v>3448854</v>
      </c>
      <c r="H10" s="31">
        <f>H6+H7+H9</f>
        <v>-19476</v>
      </c>
      <c r="I10" s="43"/>
    </row>
    <row r="11" spans="2:11" ht="28.5">
      <c r="B11" s="42" t="s">
        <v>9</v>
      </c>
      <c r="C11" s="25">
        <v>-445776</v>
      </c>
      <c r="D11" s="25">
        <v>-432570</v>
      </c>
      <c r="E11" s="25">
        <v>-549027</v>
      </c>
      <c r="F11" s="25">
        <v>-549027</v>
      </c>
      <c r="G11" s="25">
        <v>-5490274</v>
      </c>
      <c r="H11" s="27">
        <v>-5490270</v>
      </c>
      <c r="I11" s="43"/>
    </row>
    <row r="12" spans="2:11" ht="28.5">
      <c r="B12" s="46" t="s">
        <v>10</v>
      </c>
      <c r="C12" s="25">
        <v>83</v>
      </c>
      <c r="D12" s="25">
        <v>315</v>
      </c>
      <c r="E12" s="25">
        <v>333</v>
      </c>
      <c r="F12" s="25">
        <v>15</v>
      </c>
      <c r="G12" s="25">
        <v>3333</v>
      </c>
      <c r="H12" s="27">
        <v>2515</v>
      </c>
      <c r="I12" s="43"/>
    </row>
    <row r="13" spans="2:11" ht="28.5">
      <c r="B13" s="45" t="s">
        <v>11</v>
      </c>
      <c r="C13" s="26">
        <f>C10+C11+C12</f>
        <v>-438438</v>
      </c>
      <c r="D13" s="26">
        <f>D10+D11+D12</f>
        <v>-434231</v>
      </c>
      <c r="E13" s="26">
        <f>E10+E11+E12</f>
        <v>-203808</v>
      </c>
      <c r="F13" s="26">
        <v>-550504</v>
      </c>
      <c r="G13" s="26">
        <f>G10+G11+G12</f>
        <v>-2038087</v>
      </c>
      <c r="H13" s="26">
        <f>H10+H11+H12</f>
        <v>-5507231</v>
      </c>
      <c r="I13" s="43"/>
    </row>
    <row r="14" spans="2:11" ht="28.5">
      <c r="B14" s="42" t="s">
        <v>12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7">
        <v>0</v>
      </c>
      <c r="I14" s="43"/>
    </row>
    <row r="15" spans="2:11" ht="29.25" thickBot="1">
      <c r="B15" s="47" t="s">
        <v>13</v>
      </c>
      <c r="C15" s="48">
        <f t="shared" ref="C15:H15" si="1">C13</f>
        <v>-438438</v>
      </c>
      <c r="D15" s="48">
        <f t="shared" si="1"/>
        <v>-434231</v>
      </c>
      <c r="E15" s="48">
        <f t="shared" si="1"/>
        <v>-203808</v>
      </c>
      <c r="F15" s="48">
        <f t="shared" si="1"/>
        <v>-550504</v>
      </c>
      <c r="G15" s="48">
        <f t="shared" si="1"/>
        <v>-2038087</v>
      </c>
      <c r="H15" s="48">
        <f t="shared" si="1"/>
        <v>-5507231</v>
      </c>
      <c r="I15" s="49"/>
    </row>
    <row r="16" spans="2:11">
      <c r="C16" s="33"/>
      <c r="D16" s="33"/>
      <c r="E16" s="33"/>
      <c r="F16" s="33"/>
      <c r="G16" s="33"/>
    </row>
    <row r="17" spans="2:8" s="35" customFormat="1" ht="26.25">
      <c r="B17" s="34"/>
      <c r="G17" s="36"/>
      <c r="H17" s="37"/>
    </row>
    <row r="18" spans="2:8" ht="26.25">
      <c r="B18" s="34"/>
      <c r="C18" s="34"/>
      <c r="D18" s="34"/>
      <c r="E18" s="34"/>
      <c r="F18" s="34"/>
      <c r="G18" s="38"/>
      <c r="H18" s="37"/>
    </row>
    <row r="19" spans="2:8" ht="24">
      <c r="B19" s="34"/>
      <c r="C19" s="34"/>
      <c r="D19" s="34"/>
      <c r="E19" s="34"/>
      <c r="F19" s="34"/>
      <c r="G19" s="39"/>
      <c r="H19" s="34"/>
    </row>
    <row r="23" spans="2:8">
      <c r="B23" s="40"/>
      <c r="C23" s="40"/>
      <c r="D23" s="40"/>
      <c r="E23" s="40"/>
      <c r="F23" s="40"/>
      <c r="G23" s="40"/>
    </row>
    <row r="24" spans="2:8">
      <c r="B24" s="40"/>
      <c r="C24" s="41"/>
      <c r="D24" s="41"/>
      <c r="E24" s="41"/>
      <c r="F24" s="41"/>
      <c r="G24" s="41"/>
    </row>
    <row r="25" spans="2:8">
      <c r="B25" s="40"/>
      <c r="C25" s="40"/>
      <c r="D25" s="40"/>
      <c r="E25" s="40"/>
      <c r="F25" s="40"/>
      <c r="G25" s="40"/>
    </row>
    <row r="26" spans="2:8">
      <c r="B26" s="40"/>
      <c r="C26" s="40"/>
      <c r="D26" s="40"/>
      <c r="E26" s="40"/>
      <c r="F26" s="40"/>
      <c r="G26" s="40"/>
    </row>
    <row r="27" spans="2:8">
      <c r="B27" s="40"/>
      <c r="C27" s="40"/>
      <c r="D27" s="40"/>
      <c r="E27" s="40"/>
      <c r="F27" s="40"/>
      <c r="G27" s="40"/>
    </row>
    <row r="28" spans="2:8">
      <c r="B28" s="40"/>
      <c r="C28" s="40"/>
      <c r="D28" s="40"/>
      <c r="E28" s="40"/>
      <c r="F28" s="40"/>
      <c r="G28" s="40"/>
    </row>
    <row r="29" spans="2:8">
      <c r="B29" s="40"/>
      <c r="C29" s="40"/>
      <c r="D29" s="40"/>
      <c r="E29" s="40"/>
      <c r="F29" s="40"/>
      <c r="G29" s="40"/>
    </row>
    <row r="30" spans="2:8">
      <c r="B30" s="40"/>
      <c r="C30" s="40"/>
      <c r="D30" s="40"/>
      <c r="E30" s="40"/>
      <c r="F30" s="40"/>
      <c r="G30" s="40"/>
    </row>
    <row r="31" spans="2:8">
      <c r="B31" s="40"/>
      <c r="C31" s="40"/>
      <c r="D31" s="40"/>
      <c r="E31" s="40"/>
      <c r="F31" s="40"/>
      <c r="G31" s="40"/>
    </row>
    <row r="32" spans="2:8">
      <c r="B32" s="40"/>
      <c r="C32" s="40"/>
      <c r="D32" s="40"/>
      <c r="E32" s="40"/>
      <c r="F32" s="40"/>
      <c r="G32" s="40"/>
    </row>
  </sheetData>
  <mergeCells count="9">
    <mergeCell ref="B1:I1"/>
    <mergeCell ref="B2:B3"/>
    <mergeCell ref="C2:C3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rightToLeft="1" view="pageBreakPreview" topLeftCell="A55" zoomScale="60" zoomScaleNormal="60" workbookViewId="0">
      <selection activeCell="G65" sqref="E65:G65"/>
    </sheetView>
  </sheetViews>
  <sheetFormatPr defaultColWidth="14.25" defaultRowHeight="15" customHeight="1"/>
  <cols>
    <col min="1" max="1" width="13.5" style="203" customWidth="1"/>
    <col min="2" max="2" width="58" style="90" customWidth="1"/>
    <col min="3" max="3" width="35" style="90" bestFit="1" customWidth="1"/>
    <col min="4" max="4" width="23" style="90" customWidth="1"/>
    <col min="5" max="6" width="28" style="90" bestFit="1" customWidth="1"/>
    <col min="7" max="7" width="28" style="90" customWidth="1"/>
    <col min="8" max="9" width="14.875" style="90" bestFit="1" customWidth="1"/>
    <col min="10" max="10" width="19.875" style="90" bestFit="1" customWidth="1"/>
    <col min="11" max="11" width="13.25" style="90" bestFit="1" customWidth="1"/>
    <col min="12" max="12" width="14.875" style="90" customWidth="1"/>
    <col min="13" max="13" width="13" style="90" bestFit="1" customWidth="1"/>
    <col min="14" max="14" width="12.625" style="90" bestFit="1" customWidth="1"/>
    <col min="15" max="15" width="15.5" style="90" bestFit="1" customWidth="1"/>
    <col min="16" max="16" width="18" style="90" bestFit="1" customWidth="1"/>
    <col min="17" max="17" width="26.75" style="203" customWidth="1"/>
    <col min="18" max="18" width="14.25" style="204" bestFit="1" customWidth="1"/>
    <col min="19" max="19" width="18.375" style="90" customWidth="1"/>
    <col min="20" max="20" width="37.5" style="90" customWidth="1"/>
    <col min="21" max="21" width="13.875" style="90" customWidth="1"/>
    <col min="22" max="23" width="18.375" style="90" customWidth="1"/>
    <col min="24" max="24" width="5.75" style="90" customWidth="1"/>
    <col min="25" max="26" width="18.375" style="90" customWidth="1"/>
    <col min="27" max="27" width="5.75" style="90" customWidth="1"/>
    <col min="28" max="28" width="18.375" style="90" customWidth="1"/>
    <col min="29" max="29" width="17.125" style="90" customWidth="1"/>
    <col min="30" max="16384" width="14.25" style="90"/>
  </cols>
  <sheetData>
    <row r="1" spans="1:29" ht="37.5" thickBot="1">
      <c r="A1" s="87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9"/>
    </row>
    <row r="2" spans="1:29" ht="25.5">
      <c r="A2" s="91" t="s">
        <v>49</v>
      </c>
      <c r="B2" s="92" t="s">
        <v>50</v>
      </c>
      <c r="C2" s="92" t="s">
        <v>51</v>
      </c>
      <c r="D2" s="93" t="s">
        <v>52</v>
      </c>
      <c r="E2" s="93" t="s">
        <v>53</v>
      </c>
      <c r="F2" s="93" t="s">
        <v>54</v>
      </c>
      <c r="G2" s="93" t="s">
        <v>55</v>
      </c>
      <c r="H2" s="93" t="s">
        <v>56</v>
      </c>
      <c r="I2" s="93" t="s">
        <v>57</v>
      </c>
      <c r="J2" s="93" t="s">
        <v>58</v>
      </c>
      <c r="K2" s="93" t="s">
        <v>59</v>
      </c>
      <c r="L2" s="93" t="s">
        <v>60</v>
      </c>
      <c r="M2" s="93" t="s">
        <v>61</v>
      </c>
      <c r="N2" s="93" t="s">
        <v>62</v>
      </c>
      <c r="O2" s="93" t="s">
        <v>63</v>
      </c>
      <c r="P2" s="93" t="s">
        <v>64</v>
      </c>
      <c r="Q2" s="93" t="s">
        <v>65</v>
      </c>
      <c r="R2" s="94" t="s">
        <v>66</v>
      </c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</row>
    <row r="3" spans="1:29" ht="26.25" thickBot="1">
      <c r="A3" s="96"/>
      <c r="B3" s="97"/>
      <c r="C3" s="97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9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</row>
    <row r="4" spans="1:29" ht="30" customHeight="1">
      <c r="A4" s="100">
        <v>1</v>
      </c>
      <c r="B4" s="101" t="s">
        <v>67</v>
      </c>
      <c r="C4" s="102" t="s">
        <v>68</v>
      </c>
      <c r="D4" s="103">
        <v>1011279999.9999998</v>
      </c>
      <c r="E4" s="104">
        <f>'[2]هزینه سه ماهه اول'!E10</f>
        <v>0</v>
      </c>
      <c r="F4" s="104">
        <f>'[2]هزینه سه ماهه اول'!F10</f>
        <v>151132000</v>
      </c>
      <c r="G4" s="104">
        <f>'[2]هزینه سه ماهه اول'!G10</f>
        <v>0</v>
      </c>
      <c r="H4" s="105"/>
      <c r="I4" s="105"/>
      <c r="J4" s="105"/>
      <c r="K4" s="106"/>
      <c r="L4" s="106"/>
      <c r="M4" s="106"/>
      <c r="N4" s="107"/>
      <c r="O4" s="107"/>
      <c r="P4" s="107"/>
      <c r="Q4" s="108">
        <f>SUM(E4:P4)</f>
        <v>151132000</v>
      </c>
      <c r="R4" s="109">
        <f>Q4/D4</f>
        <v>0.14944624634127052</v>
      </c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</row>
    <row r="5" spans="1:29" ht="30">
      <c r="A5" s="100">
        <v>2</v>
      </c>
      <c r="B5" s="110"/>
      <c r="C5" s="111" t="s">
        <v>69</v>
      </c>
      <c r="D5" s="112">
        <v>1318371791.6666667</v>
      </c>
      <c r="E5" s="113">
        <f>'[2]هزینه سه ماهه اول'!E8</f>
        <v>56175000</v>
      </c>
      <c r="F5" s="113">
        <f>'[2]هزینه سه ماهه اول'!F8</f>
        <v>6200000</v>
      </c>
      <c r="G5" s="113">
        <f>'[2]هزینه سه ماهه اول'!G8</f>
        <v>123958000</v>
      </c>
      <c r="H5" s="105"/>
      <c r="I5" s="105"/>
      <c r="J5" s="105"/>
      <c r="K5" s="114"/>
      <c r="L5" s="114"/>
      <c r="M5" s="114"/>
      <c r="N5" s="107"/>
      <c r="O5" s="107"/>
      <c r="P5" s="107"/>
      <c r="Q5" s="108">
        <f t="shared" ref="Q5:Q22" si="0">SUM(E5:P5)</f>
        <v>186333000</v>
      </c>
      <c r="R5" s="109">
        <f t="shared" ref="R5:R22" si="1">Q5/D5</f>
        <v>0.14133569997310128</v>
      </c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</row>
    <row r="6" spans="1:29" ht="30">
      <c r="A6" s="100">
        <v>3</v>
      </c>
      <c r="B6" s="110"/>
      <c r="C6" s="111" t="s">
        <v>70</v>
      </c>
      <c r="D6" s="112">
        <v>486593333.33333337</v>
      </c>
      <c r="E6" s="113">
        <f>'[2]هزینه سه ماهه اول'!E20</f>
        <v>0</v>
      </c>
      <c r="F6" s="113">
        <f>'[2]هزینه سه ماهه اول'!F20</f>
        <v>140245000</v>
      </c>
      <c r="G6" s="113">
        <f>'[2]هزینه سه ماهه اول'!G20</f>
        <v>0</v>
      </c>
      <c r="H6" s="105"/>
      <c r="I6" s="105"/>
      <c r="J6" s="105"/>
      <c r="K6" s="114"/>
      <c r="L6" s="114"/>
      <c r="M6" s="114"/>
      <c r="N6" s="107"/>
      <c r="O6" s="107"/>
      <c r="P6" s="107"/>
      <c r="Q6" s="108">
        <f t="shared" si="0"/>
        <v>140245000</v>
      </c>
      <c r="R6" s="109">
        <f t="shared" si="1"/>
        <v>0.28821808765704421</v>
      </c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</row>
    <row r="7" spans="1:29" ht="30">
      <c r="A7" s="100">
        <v>4</v>
      </c>
      <c r="B7" s="110"/>
      <c r="C7" s="111" t="s">
        <v>71</v>
      </c>
      <c r="D7" s="112">
        <v>355453560</v>
      </c>
      <c r="E7" s="113">
        <f>'[2]هزینه سه ماهه اول'!E7</f>
        <v>17924000</v>
      </c>
      <c r="F7" s="113">
        <f>'[2]هزینه سه ماهه اول'!F7</f>
        <v>19867000</v>
      </c>
      <c r="G7" s="113">
        <f>'[2]هزینه سه ماهه اول'!G7</f>
        <v>40607000</v>
      </c>
      <c r="H7" s="105"/>
      <c r="I7" s="105"/>
      <c r="J7" s="105"/>
      <c r="K7" s="114"/>
      <c r="L7" s="114"/>
      <c r="M7" s="114"/>
      <c r="N7" s="107"/>
      <c r="O7" s="107"/>
      <c r="P7" s="107"/>
      <c r="Q7" s="108">
        <f t="shared" si="0"/>
        <v>78398000</v>
      </c>
      <c r="R7" s="109">
        <f t="shared" si="1"/>
        <v>0.22055764471735773</v>
      </c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</row>
    <row r="8" spans="1:29" ht="30">
      <c r="A8" s="100">
        <v>5</v>
      </c>
      <c r="B8" s="110"/>
      <c r="C8" s="111" t="s">
        <v>72</v>
      </c>
      <c r="D8" s="112">
        <v>3000000000</v>
      </c>
      <c r="E8" s="113">
        <f>'[2]هزینه سه ماهه اول'!E24</f>
        <v>0</v>
      </c>
      <c r="F8" s="113">
        <f>'[2]هزینه سه ماهه اول'!F24</f>
        <v>183500000</v>
      </c>
      <c r="G8" s="113">
        <f>'[2]هزینه سه ماهه اول'!G24</f>
        <v>178500000</v>
      </c>
      <c r="H8" s="105"/>
      <c r="I8" s="105"/>
      <c r="J8" s="105"/>
      <c r="K8" s="114"/>
      <c r="L8" s="114"/>
      <c r="M8" s="114"/>
      <c r="N8" s="107"/>
      <c r="O8" s="107"/>
      <c r="P8" s="107"/>
      <c r="Q8" s="108">
        <f t="shared" si="0"/>
        <v>362000000</v>
      </c>
      <c r="R8" s="109">
        <f t="shared" si="1"/>
        <v>0.12066666666666667</v>
      </c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</row>
    <row r="9" spans="1:29" ht="30">
      <c r="A9" s="100">
        <v>6</v>
      </c>
      <c r="B9" s="110"/>
      <c r="C9" s="111" t="s">
        <v>73</v>
      </c>
      <c r="D9" s="112">
        <v>1797323618.75</v>
      </c>
      <c r="E9" s="113">
        <v>0</v>
      </c>
      <c r="F9" s="113">
        <v>0</v>
      </c>
      <c r="G9" s="113">
        <v>0</v>
      </c>
      <c r="H9" s="105"/>
      <c r="I9" s="105"/>
      <c r="J9" s="105"/>
      <c r="K9" s="114"/>
      <c r="L9" s="114"/>
      <c r="M9" s="114"/>
      <c r="N9" s="107"/>
      <c r="O9" s="107"/>
      <c r="P9" s="107"/>
      <c r="Q9" s="108">
        <f t="shared" si="0"/>
        <v>0</v>
      </c>
      <c r="R9" s="109">
        <f t="shared" si="1"/>
        <v>0</v>
      </c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30">
      <c r="A10" s="100">
        <v>7</v>
      </c>
      <c r="B10" s="110"/>
      <c r="C10" s="115" t="s">
        <v>74</v>
      </c>
      <c r="D10" s="112">
        <v>114522035</v>
      </c>
      <c r="E10" s="113">
        <f>'[2]هزینه سه ماهه اول'!E19</f>
        <v>0</v>
      </c>
      <c r="F10" s="113">
        <f>'[2]هزینه سه ماهه اول'!F19</f>
        <v>6940820</v>
      </c>
      <c r="G10" s="113">
        <f>'[2]هزینه سه ماهه اول'!G19</f>
        <v>34716556</v>
      </c>
      <c r="H10" s="105"/>
      <c r="I10" s="105"/>
      <c r="J10" s="105"/>
      <c r="K10" s="114"/>
      <c r="L10" s="114"/>
      <c r="M10" s="114"/>
      <c r="N10" s="107"/>
      <c r="O10" s="107"/>
      <c r="P10" s="107"/>
      <c r="Q10" s="108">
        <f t="shared" si="0"/>
        <v>41657376</v>
      </c>
      <c r="R10" s="109">
        <f t="shared" si="1"/>
        <v>0.36374987573352152</v>
      </c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30">
      <c r="A11" s="100">
        <v>8</v>
      </c>
      <c r="B11" s="110"/>
      <c r="C11" s="111" t="s">
        <v>75</v>
      </c>
      <c r="D11" s="112">
        <v>1562500000</v>
      </c>
      <c r="E11" s="113">
        <v>0</v>
      </c>
      <c r="F11" s="113">
        <v>0</v>
      </c>
      <c r="G11" s="113">
        <f>'[2]هزینه سه ماهه اول'!G2</f>
        <v>0</v>
      </c>
      <c r="H11" s="105"/>
      <c r="I11" s="105"/>
      <c r="J11" s="105"/>
      <c r="K11" s="114"/>
      <c r="L11" s="114"/>
      <c r="M11" s="114"/>
      <c r="N11" s="107"/>
      <c r="O11" s="107"/>
      <c r="P11" s="107"/>
      <c r="Q11" s="108">
        <f t="shared" si="0"/>
        <v>0</v>
      </c>
      <c r="R11" s="109">
        <f t="shared" si="1"/>
        <v>0</v>
      </c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30">
      <c r="A12" s="100">
        <v>9</v>
      </c>
      <c r="B12" s="110"/>
      <c r="C12" s="111" t="s">
        <v>76</v>
      </c>
      <c r="D12" s="112">
        <v>232500000</v>
      </c>
      <c r="E12" s="113">
        <v>0</v>
      </c>
      <c r="F12" s="113">
        <v>0</v>
      </c>
      <c r="G12" s="113">
        <v>0</v>
      </c>
      <c r="H12" s="105"/>
      <c r="I12" s="105"/>
      <c r="J12" s="105"/>
      <c r="K12" s="114"/>
      <c r="L12" s="114"/>
      <c r="M12" s="114"/>
      <c r="N12" s="107"/>
      <c r="O12" s="107"/>
      <c r="P12" s="107"/>
      <c r="Q12" s="108">
        <f t="shared" si="0"/>
        <v>0</v>
      </c>
      <c r="R12" s="109">
        <f t="shared" si="1"/>
        <v>0</v>
      </c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</row>
    <row r="13" spans="1:29" ht="30">
      <c r="A13" s="100">
        <v>10</v>
      </c>
      <c r="B13" s="110"/>
      <c r="C13" s="111" t="s">
        <v>77</v>
      </c>
      <c r="D13" s="112">
        <v>4456450000</v>
      </c>
      <c r="E13" s="113">
        <f>'[2]هزینه سه ماهه اول'!E26+'[2]هزینه سه ماهه اول'!E6+'[2]هزینه سه ماهه اول'!E30+'[2]هزینه سه ماهه اول'!E3</f>
        <v>159530000</v>
      </c>
      <c r="F13" s="113">
        <f>'[2]هزینه سه ماهه اول'!F26+'[2]هزینه سه ماهه اول'!F6+'[2]هزینه سه ماهه اول'!F30+'[2]هزینه سه ماهه اول'!F3</f>
        <v>461137382</v>
      </c>
      <c r="G13" s="113">
        <f>'[2]هزینه سه ماهه اول'!G26+'[2]هزینه سه ماهه اول'!G6+'[2]هزینه سه ماهه اول'!G30+'[2]هزینه سه ماهه اول'!G3</f>
        <v>539650370</v>
      </c>
      <c r="H13" s="105"/>
      <c r="I13" s="105"/>
      <c r="J13" s="105"/>
      <c r="K13" s="114"/>
      <c r="L13" s="114"/>
      <c r="M13" s="114"/>
      <c r="N13" s="107"/>
      <c r="O13" s="107"/>
      <c r="P13" s="107"/>
      <c r="Q13" s="108">
        <f t="shared" si="0"/>
        <v>1160317752</v>
      </c>
      <c r="R13" s="109">
        <f t="shared" si="1"/>
        <v>0.26036817466817758</v>
      </c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30">
      <c r="A14" s="100">
        <v>11</v>
      </c>
      <c r="B14" s="110"/>
      <c r="C14" s="115" t="s">
        <v>78</v>
      </c>
      <c r="D14" s="112">
        <v>64800000</v>
      </c>
      <c r="E14" s="113">
        <f>'[2]هزینه سه ماهه اول'!E14</f>
        <v>0</v>
      </c>
      <c r="F14" s="113">
        <f>'[2]هزینه سه ماهه اول'!F14</f>
        <v>2700000</v>
      </c>
      <c r="G14" s="113">
        <f>'[2]هزینه سه ماهه اول'!G14</f>
        <v>0</v>
      </c>
      <c r="H14" s="105"/>
      <c r="I14" s="105"/>
      <c r="J14" s="105"/>
      <c r="K14" s="114"/>
      <c r="L14" s="114"/>
      <c r="M14" s="114"/>
      <c r="N14" s="107"/>
      <c r="O14" s="107"/>
      <c r="P14" s="107"/>
      <c r="Q14" s="108">
        <f t="shared" si="0"/>
        <v>2700000</v>
      </c>
      <c r="R14" s="109">
        <f t="shared" si="1"/>
        <v>4.1666666666666664E-2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30">
      <c r="A15" s="100">
        <v>12</v>
      </c>
      <c r="B15" s="110"/>
      <c r="C15" s="115" t="s">
        <v>79</v>
      </c>
      <c r="D15" s="112">
        <v>192000000</v>
      </c>
      <c r="E15" s="113">
        <f>'[2]هزینه سه ماهه اول'!E32</f>
        <v>0</v>
      </c>
      <c r="F15" s="113">
        <f>'[2]هزینه سه ماهه اول'!F32</f>
        <v>5000000</v>
      </c>
      <c r="G15" s="113">
        <f>'[2]هزینه سه ماهه اول'!G32</f>
        <v>5000000</v>
      </c>
      <c r="H15" s="105"/>
      <c r="I15" s="105"/>
      <c r="J15" s="105"/>
      <c r="K15" s="114"/>
      <c r="L15" s="114"/>
      <c r="M15" s="114"/>
      <c r="N15" s="107"/>
      <c r="O15" s="107"/>
      <c r="P15" s="107"/>
      <c r="Q15" s="108">
        <f t="shared" si="0"/>
        <v>10000000</v>
      </c>
      <c r="R15" s="109">
        <f t="shared" si="1"/>
        <v>5.2083333333333336E-2</v>
      </c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30">
      <c r="A16" s="100">
        <v>13</v>
      </c>
      <c r="B16" s="110"/>
      <c r="C16" s="116" t="s">
        <v>80</v>
      </c>
      <c r="D16" s="112">
        <v>3239863731.75</v>
      </c>
      <c r="E16" s="113">
        <f>'[2]هزینه سه ماهه اول'!E33+'[2]هزینه سه ماهه اول'!E34+'[2]هزینه سه ماهه اول'!E61+'[2]هزینه سه ماهه اول'!E74-8851036+'[2]هزینه سه ماهه اول'!E2</f>
        <v>100371885</v>
      </c>
      <c r="F16" s="113">
        <f>'[2]هزینه سه ماهه اول'!F33+'[2]هزینه سه ماهه اول'!F34+'[2]هزینه سه ماهه اول'!F61+'[2]هزینه سه ماهه اول'!F73-95000000+'[2]هزینه سه ماهه اول'!F2</f>
        <v>823871550</v>
      </c>
      <c r="G16" s="113">
        <f>'[2]هزینه سه ماهه اول'!G33+'[2]هزینه سه ماهه اول'!G34+'[2]هزینه سه ماهه اول'!G61+'[2]هزینه سه ماهه اول'!G73-82000000</f>
        <v>202240000</v>
      </c>
      <c r="H16" s="105"/>
      <c r="I16" s="105"/>
      <c r="J16" s="105"/>
      <c r="K16" s="114"/>
      <c r="L16" s="114"/>
      <c r="M16" s="114"/>
      <c r="N16" s="107"/>
      <c r="O16" s="107"/>
      <c r="P16" s="107"/>
      <c r="Q16" s="108">
        <f t="shared" si="0"/>
        <v>1126483435</v>
      </c>
      <c r="R16" s="109">
        <f t="shared" si="1"/>
        <v>0.34769469590979812</v>
      </c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</row>
    <row r="17" spans="1:29" ht="30">
      <c r="A17" s="100">
        <v>14</v>
      </c>
      <c r="B17" s="110"/>
      <c r="C17" s="115" t="s">
        <v>81</v>
      </c>
      <c r="D17" s="112">
        <v>2159909154.5</v>
      </c>
      <c r="E17" s="113">
        <v>8851036</v>
      </c>
      <c r="F17" s="113">
        <v>95000000</v>
      </c>
      <c r="G17" s="113">
        <v>82000000</v>
      </c>
      <c r="H17" s="105"/>
      <c r="I17" s="105"/>
      <c r="J17" s="105"/>
      <c r="K17" s="114"/>
      <c r="L17" s="114"/>
      <c r="M17" s="114"/>
      <c r="N17" s="107"/>
      <c r="O17" s="107"/>
      <c r="P17" s="107"/>
      <c r="Q17" s="108">
        <f t="shared" si="0"/>
        <v>185851036</v>
      </c>
      <c r="R17" s="109">
        <f t="shared" si="1"/>
        <v>8.6045765217853745E-2</v>
      </c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</row>
    <row r="18" spans="1:29" ht="30">
      <c r="A18" s="100">
        <v>15</v>
      </c>
      <c r="B18" s="110"/>
      <c r="C18" s="117" t="s">
        <v>82</v>
      </c>
      <c r="D18" s="112">
        <v>600000000</v>
      </c>
      <c r="E18" s="113">
        <f>'[2]هزینه سه ماهه اول'!E46+'[2]هزینه سه ماهه اول'!E22</f>
        <v>0</v>
      </c>
      <c r="F18" s="113">
        <f>'[2]هزینه سه ماهه اول'!F46+'[2]هزینه سه ماهه اول'!F22</f>
        <v>4650000</v>
      </c>
      <c r="G18" s="113">
        <f>'[2]هزینه سه ماهه اول'!G46+'[2]هزینه سه ماهه اول'!G22</f>
        <v>399684500</v>
      </c>
      <c r="H18" s="118"/>
      <c r="I18" s="118"/>
      <c r="J18" s="118"/>
      <c r="K18" s="114"/>
      <c r="L18" s="114"/>
      <c r="M18" s="114"/>
      <c r="N18" s="107"/>
      <c r="O18" s="107"/>
      <c r="P18" s="107"/>
      <c r="Q18" s="108">
        <f t="shared" si="0"/>
        <v>404334500</v>
      </c>
      <c r="R18" s="109">
        <f t="shared" si="1"/>
        <v>0.67389083333333333</v>
      </c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</row>
    <row r="19" spans="1:29" ht="30">
      <c r="A19" s="100">
        <v>16</v>
      </c>
      <c r="B19" s="110"/>
      <c r="C19" s="117" t="s">
        <v>83</v>
      </c>
      <c r="D19" s="112">
        <v>969949367.08860767</v>
      </c>
      <c r="E19" s="113">
        <f>'[2]هزینه سه ماهه اول'!E4</f>
        <v>0</v>
      </c>
      <c r="F19" s="113">
        <f>'[2]هزینه سه ماهه اول'!F4</f>
        <v>119954151</v>
      </c>
      <c r="G19" s="113">
        <f>'[2]هزینه سه ماهه اول'!G4</f>
        <v>163789573</v>
      </c>
      <c r="H19" s="105"/>
      <c r="I19" s="105"/>
      <c r="J19" s="105"/>
      <c r="K19" s="114"/>
      <c r="L19" s="114"/>
      <c r="M19" s="114"/>
      <c r="N19" s="107"/>
      <c r="O19" s="107"/>
      <c r="P19" s="107"/>
      <c r="Q19" s="108">
        <f t="shared" si="0"/>
        <v>283743724</v>
      </c>
      <c r="R19" s="109">
        <f t="shared" si="1"/>
        <v>0.29253457306919323</v>
      </c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</row>
    <row r="20" spans="1:29" ht="30">
      <c r="A20" s="100">
        <v>17</v>
      </c>
      <c r="B20" s="110"/>
      <c r="C20" s="117" t="s">
        <v>84</v>
      </c>
      <c r="D20" s="112">
        <v>5000000000</v>
      </c>
      <c r="E20" s="113">
        <f>'[2]هزینه سه ماهه اول'!E5+'[2]هزینه سه ماهه اول'!E12+'[2]هزینه سه ماهه اول'!E44</f>
        <v>2126642</v>
      </c>
      <c r="F20" s="113">
        <f>'[2]هزینه سه ماهه اول'!F5+'[2]هزینه سه ماهه اول'!F12+'[2]هزینه سه ماهه اول'!F44</f>
        <v>3757682</v>
      </c>
      <c r="G20" s="113">
        <f>'[2]هزینه سه ماهه اول'!G5+'[2]هزینه سه ماهه اول'!G12+'[2]هزینه سه ماهه اول'!G44</f>
        <v>5417776</v>
      </c>
      <c r="H20" s="118"/>
      <c r="I20" s="118"/>
      <c r="J20" s="118"/>
      <c r="K20" s="114"/>
      <c r="L20" s="114"/>
      <c r="M20" s="114"/>
      <c r="N20" s="107"/>
      <c r="O20" s="107"/>
      <c r="P20" s="107"/>
      <c r="Q20" s="108">
        <f t="shared" si="0"/>
        <v>11302100</v>
      </c>
      <c r="R20" s="109">
        <f t="shared" si="1"/>
        <v>2.26042E-3</v>
      </c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</row>
    <row r="21" spans="1:29" ht="30">
      <c r="A21" s="100">
        <v>18</v>
      </c>
      <c r="B21" s="110"/>
      <c r="C21" s="117" t="s">
        <v>85</v>
      </c>
      <c r="D21" s="112">
        <v>1438000000</v>
      </c>
      <c r="E21" s="113"/>
      <c r="F21" s="113"/>
      <c r="G21" s="113"/>
      <c r="H21" s="118"/>
      <c r="I21" s="118"/>
      <c r="J21" s="118"/>
      <c r="K21" s="114"/>
      <c r="L21" s="114"/>
      <c r="M21" s="114"/>
      <c r="N21" s="107"/>
      <c r="O21" s="107"/>
      <c r="P21" s="107"/>
      <c r="Q21" s="108">
        <f t="shared" si="0"/>
        <v>0</v>
      </c>
      <c r="R21" s="109">
        <f t="shared" si="1"/>
        <v>0</v>
      </c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</row>
    <row r="22" spans="1:29" ht="30">
      <c r="A22" s="100">
        <v>19</v>
      </c>
      <c r="B22" s="110"/>
      <c r="C22" s="117" t="s">
        <v>86</v>
      </c>
      <c r="D22" s="112">
        <v>720000000</v>
      </c>
      <c r="E22" s="113">
        <f>'[2]هزینه سه ماهه اول'!E47</f>
        <v>43000000</v>
      </c>
      <c r="F22" s="113">
        <f>'[2]هزینه سه ماهه اول'!F47</f>
        <v>0</v>
      </c>
      <c r="G22" s="113">
        <f>'[2]هزینه سه ماهه اول'!G47</f>
        <v>0</v>
      </c>
      <c r="H22" s="105"/>
      <c r="I22" s="105"/>
      <c r="J22" s="105"/>
      <c r="K22" s="114"/>
      <c r="L22" s="114"/>
      <c r="M22" s="114"/>
      <c r="N22" s="107"/>
      <c r="O22" s="107"/>
      <c r="P22" s="107"/>
      <c r="Q22" s="108">
        <f t="shared" si="0"/>
        <v>43000000</v>
      </c>
      <c r="R22" s="109">
        <f t="shared" si="1"/>
        <v>5.9722222222222225E-2</v>
      </c>
      <c r="S22" s="95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</row>
    <row r="23" spans="1:29" ht="30">
      <c r="A23" s="120" t="s">
        <v>21</v>
      </c>
      <c r="B23" s="121"/>
      <c r="C23" s="122"/>
      <c r="D23" s="123">
        <f t="shared" ref="D23:Q23" si="2">SUM(D4:D22)</f>
        <v>28719516592.088608</v>
      </c>
      <c r="E23" s="123">
        <f>SUM(E4:E22)</f>
        <v>387978563</v>
      </c>
      <c r="F23" s="123">
        <f t="shared" ref="F23:G23" si="3">SUM(F4:F22)</f>
        <v>2023955585</v>
      </c>
      <c r="G23" s="123">
        <f t="shared" si="3"/>
        <v>1775563775</v>
      </c>
      <c r="H23" s="123">
        <f t="shared" si="2"/>
        <v>0</v>
      </c>
      <c r="I23" s="123">
        <f t="shared" si="2"/>
        <v>0</v>
      </c>
      <c r="J23" s="123">
        <f t="shared" si="2"/>
        <v>0</v>
      </c>
      <c r="K23" s="123">
        <f t="shared" si="2"/>
        <v>0</v>
      </c>
      <c r="L23" s="123">
        <f t="shared" si="2"/>
        <v>0</v>
      </c>
      <c r="M23" s="123">
        <f t="shared" si="2"/>
        <v>0</v>
      </c>
      <c r="N23" s="123">
        <f t="shared" si="2"/>
        <v>0</v>
      </c>
      <c r="O23" s="123">
        <f t="shared" si="2"/>
        <v>0</v>
      </c>
      <c r="P23" s="123">
        <f t="shared" si="2"/>
        <v>0</v>
      </c>
      <c r="Q23" s="123">
        <f t="shared" si="2"/>
        <v>4187497923</v>
      </c>
      <c r="R23" s="124">
        <f>Q23/D23</f>
        <v>0.14580669941197874</v>
      </c>
      <c r="S23" s="95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</row>
    <row r="24" spans="1:29" ht="30" customHeight="1">
      <c r="A24" s="125">
        <v>1</v>
      </c>
      <c r="B24" s="126" t="s">
        <v>87</v>
      </c>
      <c r="C24" s="127" t="s">
        <v>88</v>
      </c>
      <c r="D24" s="128">
        <v>1433325000</v>
      </c>
      <c r="E24" s="113">
        <f>'[2]هزینه سه ماهه اول'!E16+'[2]هزینه سه ماهه اول'!E15</f>
        <v>48820000</v>
      </c>
      <c r="F24" s="113">
        <f>'[2]هزینه سه ماهه اول'!F16+'[2]هزینه سه ماهه اول'!F15</f>
        <v>287871000</v>
      </c>
      <c r="G24" s="113">
        <f>'[2]هزینه سه ماهه اول'!G16+'[2]هزینه سه ماهه اول'!G15</f>
        <v>77800000</v>
      </c>
      <c r="H24" s="129"/>
      <c r="I24" s="129"/>
      <c r="J24" s="129"/>
      <c r="K24" s="114"/>
      <c r="L24" s="114"/>
      <c r="M24" s="114"/>
      <c r="N24" s="114"/>
      <c r="O24" s="114"/>
      <c r="P24" s="114"/>
      <c r="Q24" s="128">
        <f>SUM(E24:P24)</f>
        <v>414491000</v>
      </c>
      <c r="R24" s="130">
        <f t="shared" ref="R24:R58" si="4">Q24/D24</f>
        <v>0.28918144872935309</v>
      </c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</row>
    <row r="25" spans="1:29" ht="30">
      <c r="A25" s="125">
        <v>2</v>
      </c>
      <c r="B25" s="131"/>
      <c r="C25" s="127" t="s">
        <v>89</v>
      </c>
      <c r="D25" s="128">
        <v>678901666.66666663</v>
      </c>
      <c r="E25" s="113">
        <f>'[2]هزینه سه ماهه اول'!E17</f>
        <v>48246000</v>
      </c>
      <c r="F25" s="113">
        <v>364950000</v>
      </c>
      <c r="G25" s="113">
        <v>60250000</v>
      </c>
      <c r="H25" s="129"/>
      <c r="I25" s="129">
        <v>0</v>
      </c>
      <c r="J25" s="129"/>
      <c r="K25" s="114"/>
      <c r="L25" s="114"/>
      <c r="M25" s="114"/>
      <c r="N25" s="114"/>
      <c r="O25" s="114"/>
      <c r="P25" s="114"/>
      <c r="Q25" s="128">
        <f t="shared" ref="Q25:Q31" si="5">SUM(E25:P25)</f>
        <v>473446000</v>
      </c>
      <c r="R25" s="130">
        <f t="shared" si="4"/>
        <v>0.69737050775640075</v>
      </c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</row>
    <row r="26" spans="1:29" ht="30">
      <c r="A26" s="125">
        <v>3</v>
      </c>
      <c r="B26" s="131"/>
      <c r="C26" s="127" t="s">
        <v>90</v>
      </c>
      <c r="D26" s="128">
        <v>253300500</v>
      </c>
      <c r="E26" s="113">
        <v>0</v>
      </c>
      <c r="F26" s="113">
        <v>0</v>
      </c>
      <c r="G26" s="113">
        <v>0</v>
      </c>
      <c r="H26" s="118"/>
      <c r="I26" s="118"/>
      <c r="J26" s="118"/>
      <c r="K26" s="114"/>
      <c r="L26" s="114"/>
      <c r="M26" s="114"/>
      <c r="N26" s="114"/>
      <c r="O26" s="114"/>
      <c r="P26" s="114"/>
      <c r="Q26" s="128">
        <f t="shared" si="5"/>
        <v>0</v>
      </c>
      <c r="R26" s="130">
        <f t="shared" si="4"/>
        <v>0</v>
      </c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</row>
    <row r="27" spans="1:29" ht="30">
      <c r="A27" s="125">
        <v>4</v>
      </c>
      <c r="B27" s="131"/>
      <c r="C27" s="127" t="s">
        <v>91</v>
      </c>
      <c r="D27" s="128">
        <v>818333333.33333337</v>
      </c>
      <c r="E27" s="113">
        <v>0</v>
      </c>
      <c r="F27" s="113">
        <v>86350000</v>
      </c>
      <c r="G27" s="113">
        <v>26350000</v>
      </c>
      <c r="H27" s="129"/>
      <c r="I27" s="129"/>
      <c r="J27" s="129"/>
      <c r="K27" s="114"/>
      <c r="L27" s="114"/>
      <c r="M27" s="114"/>
      <c r="N27" s="114"/>
      <c r="O27" s="114"/>
      <c r="P27" s="114"/>
      <c r="Q27" s="128">
        <f t="shared" si="5"/>
        <v>112700000</v>
      </c>
      <c r="R27" s="130">
        <f t="shared" si="4"/>
        <v>0.13771894093686354</v>
      </c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</row>
    <row r="28" spans="1:29" ht="30">
      <c r="A28" s="125">
        <v>5</v>
      </c>
      <c r="B28" s="131"/>
      <c r="C28" s="127" t="s">
        <v>92</v>
      </c>
      <c r="D28" s="128">
        <v>60000000</v>
      </c>
      <c r="E28" s="113">
        <v>0</v>
      </c>
      <c r="F28" s="113">
        <v>0</v>
      </c>
      <c r="G28" s="113">
        <v>0</v>
      </c>
      <c r="H28" s="129"/>
      <c r="I28" s="129"/>
      <c r="J28" s="129"/>
      <c r="K28" s="129"/>
      <c r="L28" s="129"/>
      <c r="M28" s="114"/>
      <c r="N28" s="114"/>
      <c r="O28" s="114"/>
      <c r="P28" s="114"/>
      <c r="Q28" s="128">
        <f t="shared" si="5"/>
        <v>0</v>
      </c>
      <c r="R28" s="130">
        <f t="shared" si="4"/>
        <v>0</v>
      </c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</row>
    <row r="29" spans="1:29" ht="30">
      <c r="A29" s="125">
        <v>6</v>
      </c>
      <c r="B29" s="131"/>
      <c r="C29" s="116" t="s">
        <v>93</v>
      </c>
      <c r="D29" s="128">
        <v>6555000000</v>
      </c>
      <c r="E29" s="113">
        <v>0</v>
      </c>
      <c r="F29" s="113">
        <v>0</v>
      </c>
      <c r="G29" s="113">
        <v>0</v>
      </c>
      <c r="H29" s="129"/>
      <c r="I29" s="129"/>
      <c r="J29" s="129"/>
      <c r="K29" s="129"/>
      <c r="L29" s="129"/>
      <c r="M29" s="114"/>
      <c r="N29" s="114"/>
      <c r="O29" s="114"/>
      <c r="P29" s="114"/>
      <c r="Q29" s="128">
        <f t="shared" si="5"/>
        <v>0</v>
      </c>
      <c r="R29" s="130">
        <f t="shared" si="4"/>
        <v>0</v>
      </c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</row>
    <row r="30" spans="1:29" ht="30">
      <c r="A30" s="125">
        <v>7</v>
      </c>
      <c r="B30" s="131"/>
      <c r="C30" s="127" t="s">
        <v>94</v>
      </c>
      <c r="D30" s="128">
        <v>800000000</v>
      </c>
      <c r="E30" s="113">
        <f>'[2]هزینه سه ماهه اول'!E29</f>
        <v>178000004</v>
      </c>
      <c r="F30" s="113">
        <f>'[2]هزینه سه ماهه اول'!F29</f>
        <v>184500000</v>
      </c>
      <c r="G30" s="113">
        <f>'[2]هزینه سه ماهه اول'!G29</f>
        <v>110100000</v>
      </c>
      <c r="H30" s="129"/>
      <c r="I30" s="129"/>
      <c r="J30" s="129"/>
      <c r="K30" s="129"/>
      <c r="L30" s="129"/>
      <c r="M30" s="114"/>
      <c r="N30" s="114"/>
      <c r="O30" s="114"/>
      <c r="P30" s="114"/>
      <c r="Q30" s="128">
        <f t="shared" si="5"/>
        <v>472600004</v>
      </c>
      <c r="R30" s="130">
        <f t="shared" si="4"/>
        <v>0.59075000499999997</v>
      </c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29" ht="30">
      <c r="A31" s="125">
        <v>8</v>
      </c>
      <c r="B31" s="131"/>
      <c r="C31" s="132" t="s">
        <v>95</v>
      </c>
      <c r="D31" s="128">
        <v>344201666.66666669</v>
      </c>
      <c r="E31" s="113">
        <f>'[2]هزینه سه ماهه اول'!E18</f>
        <v>26500000</v>
      </c>
      <c r="F31" s="113">
        <f>'[2]هزینه سه ماهه اول'!F18</f>
        <v>2200000</v>
      </c>
      <c r="G31" s="113">
        <f>'[2]هزینه سه ماهه اول'!G18</f>
        <v>3627200</v>
      </c>
      <c r="H31" s="129"/>
      <c r="I31" s="129"/>
      <c r="J31" s="129"/>
      <c r="K31" s="114"/>
      <c r="L31" s="114"/>
      <c r="M31" s="114"/>
      <c r="N31" s="114"/>
      <c r="O31" s="114"/>
      <c r="P31" s="114"/>
      <c r="Q31" s="128">
        <f t="shared" si="5"/>
        <v>32327200</v>
      </c>
      <c r="R31" s="130">
        <f t="shared" si="4"/>
        <v>9.3919359290338511E-2</v>
      </c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</row>
    <row r="32" spans="1:29" ht="30">
      <c r="A32" s="133" t="s">
        <v>21</v>
      </c>
      <c r="B32" s="134"/>
      <c r="C32" s="134"/>
      <c r="D32" s="135">
        <f>SUM(D24:D31)</f>
        <v>10943062166.666666</v>
      </c>
      <c r="E32" s="135">
        <f>SUM(E24:E31)</f>
        <v>301566004</v>
      </c>
      <c r="F32" s="135">
        <f>SUM(F24:F31)</f>
        <v>925871000</v>
      </c>
      <c r="G32" s="135">
        <f t="shared" ref="G32:P32" si="6">SUM(G24:G31)</f>
        <v>278127200</v>
      </c>
      <c r="H32" s="135">
        <f t="shared" si="6"/>
        <v>0</v>
      </c>
      <c r="I32" s="135">
        <f t="shared" si="6"/>
        <v>0</v>
      </c>
      <c r="J32" s="135">
        <f t="shared" si="6"/>
        <v>0</v>
      </c>
      <c r="K32" s="135">
        <f t="shared" si="6"/>
        <v>0</v>
      </c>
      <c r="L32" s="135">
        <f t="shared" si="6"/>
        <v>0</v>
      </c>
      <c r="M32" s="135">
        <f t="shared" si="6"/>
        <v>0</v>
      </c>
      <c r="N32" s="135">
        <f t="shared" si="6"/>
        <v>0</v>
      </c>
      <c r="O32" s="135">
        <f t="shared" si="6"/>
        <v>0</v>
      </c>
      <c r="P32" s="135">
        <f t="shared" si="6"/>
        <v>0</v>
      </c>
      <c r="Q32" s="135">
        <f>SUM(Q24:Q31)</f>
        <v>1505564204</v>
      </c>
      <c r="R32" s="136">
        <f t="shared" si="4"/>
        <v>0.13758161847842315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</row>
    <row r="33" spans="1:29" ht="29.45" customHeight="1">
      <c r="A33" s="137">
        <v>1</v>
      </c>
      <c r="B33" s="138" t="s">
        <v>96</v>
      </c>
      <c r="C33" s="127" t="s">
        <v>97</v>
      </c>
      <c r="D33" s="139">
        <v>344196188160</v>
      </c>
      <c r="E33" s="113">
        <f>22822851108+4356344000+30000000</f>
        <v>27209195108</v>
      </c>
      <c r="F33" s="113">
        <f>22773294941+4420905111+540000000</f>
        <v>27734200052</v>
      </c>
      <c r="G33" s="118">
        <f>22601241627+5458789600+540000000</f>
        <v>28600031227</v>
      </c>
      <c r="H33" s="129"/>
      <c r="I33" s="129"/>
      <c r="J33" s="129"/>
      <c r="K33" s="114"/>
      <c r="L33" s="114"/>
      <c r="M33" s="114"/>
      <c r="N33" s="114"/>
      <c r="O33" s="114"/>
      <c r="P33" s="114"/>
      <c r="Q33" s="139">
        <f>SUM(E33:P33)</f>
        <v>83543426387</v>
      </c>
      <c r="R33" s="140">
        <f t="shared" si="4"/>
        <v>0.24272037070952321</v>
      </c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</row>
    <row r="34" spans="1:29" ht="30">
      <c r="A34" s="137">
        <v>2</v>
      </c>
      <c r="B34" s="141"/>
      <c r="C34" s="127" t="s">
        <v>98</v>
      </c>
      <c r="D34" s="139">
        <v>94278464993.280014</v>
      </c>
      <c r="E34" s="113">
        <f>5120700859+768105123</f>
        <v>5888805982</v>
      </c>
      <c r="F34" s="113">
        <f>5262609282+789391394</f>
        <v>6052000676</v>
      </c>
      <c r="G34" s="118">
        <f>5338191127+800728668+546955843</f>
        <v>6685875638</v>
      </c>
      <c r="H34" s="129"/>
      <c r="I34" s="129"/>
      <c r="J34" s="129"/>
      <c r="K34" s="114"/>
      <c r="L34" s="114"/>
      <c r="M34" s="114"/>
      <c r="N34" s="114"/>
      <c r="O34" s="114"/>
      <c r="P34" s="114"/>
      <c r="Q34" s="139">
        <f t="shared" ref="Q34:Q45" si="7">SUM(E34:P34)</f>
        <v>18626682296</v>
      </c>
      <c r="R34" s="140">
        <f t="shared" si="4"/>
        <v>0.19757091184426553</v>
      </c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</row>
    <row r="35" spans="1:29" ht="30">
      <c r="A35" s="137">
        <v>3</v>
      </c>
      <c r="B35" s="141"/>
      <c r="C35" s="127" t="s">
        <v>99</v>
      </c>
      <c r="D35" s="139">
        <v>65710181376</v>
      </c>
      <c r="E35" s="113">
        <f>4557868170+513620000+267000000+9250000</f>
        <v>5347738170</v>
      </c>
      <c r="F35" s="113">
        <f>5059236764+555956815+718940000+25000000</f>
        <v>6359133579</v>
      </c>
      <c r="G35" s="118">
        <f>2118433074+2953702858+247256892+252232004+25000000+221000000+415188905+536900000</f>
        <v>6769713733</v>
      </c>
      <c r="H35" s="129"/>
      <c r="I35" s="129"/>
      <c r="J35" s="129"/>
      <c r="K35" s="114"/>
      <c r="L35" s="114"/>
      <c r="M35" s="114"/>
      <c r="N35" s="114"/>
      <c r="O35" s="114"/>
      <c r="P35" s="114"/>
      <c r="Q35" s="139">
        <f t="shared" si="7"/>
        <v>18476585482</v>
      </c>
      <c r="R35" s="140">
        <f t="shared" si="4"/>
        <v>0.28118299318449896</v>
      </c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</row>
    <row r="36" spans="1:29" ht="30">
      <c r="A36" s="137">
        <v>5</v>
      </c>
      <c r="B36" s="141"/>
      <c r="C36" s="115" t="s">
        <v>100</v>
      </c>
      <c r="D36" s="139">
        <v>286830156.80000001</v>
      </c>
      <c r="E36" s="113">
        <f>'[2]هزینه سه ماهه اول'!E27</f>
        <v>0</v>
      </c>
      <c r="F36" s="113">
        <f>'[2]هزینه سه ماهه اول'!F27</f>
        <v>0</v>
      </c>
      <c r="G36" s="118">
        <v>25188956</v>
      </c>
      <c r="H36" s="129"/>
      <c r="I36" s="129"/>
      <c r="J36" s="129"/>
      <c r="K36" s="114"/>
      <c r="L36" s="114"/>
      <c r="M36" s="114"/>
      <c r="N36" s="114"/>
      <c r="O36" s="114"/>
      <c r="P36" s="114"/>
      <c r="Q36" s="139">
        <f t="shared" si="7"/>
        <v>25188956</v>
      </c>
      <c r="R36" s="140">
        <f t="shared" si="4"/>
        <v>8.781836708182561E-2</v>
      </c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</row>
    <row r="37" spans="1:29" ht="30">
      <c r="A37" s="137">
        <v>6</v>
      </c>
      <c r="B37" s="141"/>
      <c r="C37" s="115" t="s">
        <v>101</v>
      </c>
      <c r="D37" s="139">
        <v>1075613088</v>
      </c>
      <c r="E37" s="113">
        <v>50400000</v>
      </c>
      <c r="F37" s="113">
        <v>50400000</v>
      </c>
      <c r="G37" s="118">
        <v>50400000</v>
      </c>
      <c r="H37" s="129"/>
      <c r="I37" s="129"/>
      <c r="J37" s="129"/>
      <c r="K37" s="114"/>
      <c r="L37" s="114"/>
      <c r="M37" s="114"/>
      <c r="N37" s="114"/>
      <c r="O37" s="114"/>
      <c r="P37" s="114"/>
      <c r="Q37" s="139">
        <f t="shared" si="7"/>
        <v>151200000</v>
      </c>
      <c r="R37" s="140">
        <f t="shared" si="4"/>
        <v>0.14057099312648005</v>
      </c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</row>
    <row r="38" spans="1:29" ht="30">
      <c r="A38" s="137">
        <v>7</v>
      </c>
      <c r="B38" s="141"/>
      <c r="C38" s="127" t="s">
        <v>102</v>
      </c>
      <c r="D38" s="139">
        <v>34875000000</v>
      </c>
      <c r="E38" s="113">
        <f>'[2]هزینه سه ماهه اول'!E52</f>
        <v>405000000</v>
      </c>
      <c r="F38" s="113">
        <f>'[2]هزینه سه ماهه اول'!F52</f>
        <v>5107572305</v>
      </c>
      <c r="G38" s="113">
        <f>'[2]هزینه سه ماهه اول'!G52</f>
        <v>3006168765</v>
      </c>
      <c r="H38" s="129"/>
      <c r="I38" s="129"/>
      <c r="J38" s="129"/>
      <c r="K38" s="114"/>
      <c r="L38" s="114"/>
      <c r="M38" s="114"/>
      <c r="N38" s="114"/>
      <c r="O38" s="114"/>
      <c r="P38" s="114"/>
      <c r="Q38" s="139">
        <f t="shared" si="7"/>
        <v>8518741070</v>
      </c>
      <c r="R38" s="140">
        <f t="shared" si="4"/>
        <v>0.24426497691756272</v>
      </c>
      <c r="S38" s="119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</row>
    <row r="39" spans="1:29" ht="30">
      <c r="A39" s="137">
        <v>8</v>
      </c>
      <c r="B39" s="141"/>
      <c r="C39" s="127" t="s">
        <v>103</v>
      </c>
      <c r="D39" s="139">
        <v>2062500000</v>
      </c>
      <c r="E39" s="113"/>
      <c r="F39" s="113"/>
      <c r="G39" s="113"/>
      <c r="H39" s="129"/>
      <c r="I39" s="129"/>
      <c r="J39" s="129"/>
      <c r="K39" s="114"/>
      <c r="L39" s="114"/>
      <c r="M39" s="114"/>
      <c r="N39" s="114"/>
      <c r="O39" s="114"/>
      <c r="P39" s="114"/>
      <c r="Q39" s="139">
        <f t="shared" si="7"/>
        <v>0</v>
      </c>
      <c r="R39" s="140">
        <f t="shared" si="4"/>
        <v>0</v>
      </c>
      <c r="S39" s="119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</row>
    <row r="40" spans="1:29" ht="30">
      <c r="A40" s="137">
        <v>9</v>
      </c>
      <c r="B40" s="141"/>
      <c r="C40" s="127" t="s">
        <v>104</v>
      </c>
      <c r="D40" s="139">
        <v>1500000000</v>
      </c>
      <c r="E40" s="113"/>
      <c r="F40" s="113"/>
      <c r="G40" s="113"/>
      <c r="H40" s="129"/>
      <c r="I40" s="129"/>
      <c r="J40" s="129"/>
      <c r="K40" s="114"/>
      <c r="L40" s="114"/>
      <c r="M40" s="114"/>
      <c r="N40" s="114"/>
      <c r="O40" s="114"/>
      <c r="P40" s="114"/>
      <c r="Q40" s="139">
        <f t="shared" si="7"/>
        <v>0</v>
      </c>
      <c r="R40" s="140">
        <f t="shared" si="4"/>
        <v>0</v>
      </c>
      <c r="S40" s="119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</row>
    <row r="41" spans="1:29" ht="30">
      <c r="A41" s="137">
        <v>10</v>
      </c>
      <c r="B41" s="141"/>
      <c r="C41" s="127" t="s">
        <v>105</v>
      </c>
      <c r="D41" s="139">
        <v>1875000000</v>
      </c>
      <c r="E41" s="113">
        <v>157000000</v>
      </c>
      <c r="F41" s="113">
        <v>249500000</v>
      </c>
      <c r="G41" s="113">
        <v>216800000</v>
      </c>
      <c r="H41" s="129"/>
      <c r="I41" s="129"/>
      <c r="J41" s="129"/>
      <c r="K41" s="114"/>
      <c r="L41" s="114"/>
      <c r="M41" s="114"/>
      <c r="N41" s="114"/>
      <c r="O41" s="114"/>
      <c r="P41" s="114"/>
      <c r="Q41" s="139">
        <f t="shared" si="7"/>
        <v>623300000</v>
      </c>
      <c r="R41" s="140">
        <f t="shared" si="4"/>
        <v>0.33242666666666665</v>
      </c>
      <c r="S41" s="119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</row>
    <row r="42" spans="1:29" ht="30">
      <c r="A42" s="137">
        <v>11</v>
      </c>
      <c r="B42" s="141"/>
      <c r="C42" s="127" t="s">
        <v>106</v>
      </c>
      <c r="D42" s="139">
        <v>22173753600</v>
      </c>
      <c r="E42" s="113">
        <v>7313538</v>
      </c>
      <c r="F42" s="113">
        <v>30983522</v>
      </c>
      <c r="G42" s="113"/>
      <c r="H42" s="129"/>
      <c r="I42" s="129"/>
      <c r="J42" s="129"/>
      <c r="K42" s="114"/>
      <c r="L42" s="114"/>
      <c r="M42" s="114"/>
      <c r="N42" s="114"/>
      <c r="O42" s="114"/>
      <c r="P42" s="114"/>
      <c r="Q42" s="139">
        <f t="shared" si="7"/>
        <v>38297060</v>
      </c>
      <c r="R42" s="140">
        <f t="shared" si="4"/>
        <v>1.7271347328401809E-3</v>
      </c>
      <c r="S42" s="119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</row>
    <row r="43" spans="1:29" ht="30">
      <c r="A43" s="137">
        <v>12</v>
      </c>
      <c r="B43" s="141"/>
      <c r="C43" s="127" t="s">
        <v>107</v>
      </c>
      <c r="D43" s="139">
        <v>4302452352</v>
      </c>
      <c r="E43" s="113"/>
      <c r="F43" s="113">
        <v>111059786</v>
      </c>
      <c r="G43" s="113"/>
      <c r="H43" s="129"/>
      <c r="I43" s="129"/>
      <c r="J43" s="129"/>
      <c r="K43" s="114"/>
      <c r="L43" s="114"/>
      <c r="M43" s="114"/>
      <c r="N43" s="114"/>
      <c r="O43" s="114"/>
      <c r="P43" s="114"/>
      <c r="Q43" s="139">
        <f t="shared" si="7"/>
        <v>111059786</v>
      </c>
      <c r="R43" s="140">
        <f t="shared" si="4"/>
        <v>2.5813135605876898E-2</v>
      </c>
      <c r="S43" s="119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</row>
    <row r="44" spans="1:29" ht="30">
      <c r="A44" s="137">
        <v>13</v>
      </c>
      <c r="B44" s="141"/>
      <c r="C44" s="127" t="s">
        <v>108</v>
      </c>
      <c r="D44" s="139">
        <v>38439359040</v>
      </c>
      <c r="E44" s="113">
        <v>14282189</v>
      </c>
      <c r="F44" s="113">
        <v>41712475</v>
      </c>
      <c r="G44" s="113"/>
      <c r="H44" s="129"/>
      <c r="I44" s="129"/>
      <c r="J44" s="129"/>
      <c r="K44" s="114"/>
      <c r="L44" s="114"/>
      <c r="M44" s="114"/>
      <c r="N44" s="114"/>
      <c r="O44" s="114"/>
      <c r="P44" s="114"/>
      <c r="Q44" s="139">
        <f t="shared" si="7"/>
        <v>55994664</v>
      </c>
      <c r="R44" s="140">
        <f t="shared" si="4"/>
        <v>1.456701292592625E-3</v>
      </c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</row>
    <row r="45" spans="1:29" ht="30">
      <c r="A45" s="137">
        <v>14</v>
      </c>
      <c r="B45" s="143"/>
      <c r="C45" s="127" t="s">
        <v>109</v>
      </c>
      <c r="D45" s="139">
        <v>26827500000</v>
      </c>
      <c r="E45" s="113">
        <f>'[2]هزینه سه ماهه اول'!E62</f>
        <v>2075741458</v>
      </c>
      <c r="F45" s="113">
        <f>'[2]هزینه سه ماهه اول'!F62</f>
        <v>1859247260</v>
      </c>
      <c r="G45" s="113">
        <f>'[2]هزینه سه ماهه اول'!G62</f>
        <v>2386621206</v>
      </c>
      <c r="H45" s="129"/>
      <c r="I45" s="129"/>
      <c r="J45" s="129"/>
      <c r="K45" s="114"/>
      <c r="L45" s="114"/>
      <c r="M45" s="114"/>
      <c r="N45" s="114"/>
      <c r="O45" s="114"/>
      <c r="P45" s="114"/>
      <c r="Q45" s="139">
        <f t="shared" si="7"/>
        <v>6321609924</v>
      </c>
      <c r="R45" s="140">
        <f t="shared" si="4"/>
        <v>0.2356391733855186</v>
      </c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</row>
    <row r="46" spans="1:29" ht="30">
      <c r="A46" s="144" t="s">
        <v>21</v>
      </c>
      <c r="B46" s="145"/>
      <c r="C46" s="146"/>
      <c r="D46" s="147">
        <f t="shared" ref="D46:Q46" si="8">SUM(D33:D45)</f>
        <v>637602842766.08008</v>
      </c>
      <c r="E46" s="147">
        <f>SUM(E33:E45)</f>
        <v>41155476445</v>
      </c>
      <c r="F46" s="147">
        <f t="shared" ref="F46:G46" si="9">SUM(F33:F45)</f>
        <v>47595809655</v>
      </c>
      <c r="G46" s="147">
        <f t="shared" si="9"/>
        <v>47740799525</v>
      </c>
      <c r="H46" s="147">
        <f t="shared" si="8"/>
        <v>0</v>
      </c>
      <c r="I46" s="147">
        <f t="shared" si="8"/>
        <v>0</v>
      </c>
      <c r="J46" s="147">
        <f t="shared" si="8"/>
        <v>0</v>
      </c>
      <c r="K46" s="147">
        <f t="shared" si="8"/>
        <v>0</v>
      </c>
      <c r="L46" s="147">
        <f t="shared" si="8"/>
        <v>0</v>
      </c>
      <c r="M46" s="147">
        <f t="shared" si="8"/>
        <v>0</v>
      </c>
      <c r="N46" s="147">
        <f t="shared" si="8"/>
        <v>0</v>
      </c>
      <c r="O46" s="147">
        <f t="shared" si="8"/>
        <v>0</v>
      </c>
      <c r="P46" s="147">
        <f t="shared" si="8"/>
        <v>0</v>
      </c>
      <c r="Q46" s="147">
        <f t="shared" si="8"/>
        <v>136492085625</v>
      </c>
      <c r="R46" s="148">
        <f>Q46/D46</f>
        <v>0.21407069804278681</v>
      </c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</row>
    <row r="47" spans="1:29" ht="42.6" customHeight="1">
      <c r="A47" s="125">
        <v>1</v>
      </c>
      <c r="B47" s="149" t="s">
        <v>110</v>
      </c>
      <c r="C47" s="150" t="s">
        <v>111</v>
      </c>
      <c r="D47" s="139">
        <v>3225600000</v>
      </c>
      <c r="E47" s="113">
        <v>283780500</v>
      </c>
      <c r="F47" s="113">
        <v>320145495</v>
      </c>
      <c r="G47" s="113">
        <v>310770495</v>
      </c>
      <c r="H47" s="129"/>
      <c r="I47" s="129"/>
      <c r="J47" s="129"/>
      <c r="K47" s="114"/>
      <c r="L47" s="114"/>
      <c r="M47" s="114"/>
      <c r="N47" s="114"/>
      <c r="O47" s="114"/>
      <c r="P47" s="114"/>
      <c r="Q47" s="128">
        <f>SUM(E47:P47)</f>
        <v>914696490</v>
      </c>
      <c r="R47" s="130">
        <f>Q47/D46</f>
        <v>1.4345865931711011E-3</v>
      </c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</row>
    <row r="48" spans="1:29" ht="30">
      <c r="A48" s="125">
        <v>2</v>
      </c>
      <c r="B48" s="151"/>
      <c r="C48" s="150" t="s">
        <v>112</v>
      </c>
      <c r="D48" s="139">
        <v>14000000000</v>
      </c>
      <c r="E48" s="113">
        <f>'[2]هزینه سه ماهه اول'!E23+'[2]هزینه سه ماهه اول'!E35+'[2]هزینه سه ماهه اول'!E9</f>
        <v>823477558</v>
      </c>
      <c r="F48" s="113">
        <f>'[2]هزینه سه ماهه اول'!F23+'[2]هزینه سه ماهه اول'!F35+'[2]هزینه سه ماهه اول'!F9</f>
        <v>9870000</v>
      </c>
      <c r="G48" s="113">
        <f>'[2]هزینه سه ماهه اول'!G23+'[2]هزینه سه ماهه اول'!G35+'[2]هزینه سه ماهه اول'!G9</f>
        <v>713750000</v>
      </c>
      <c r="H48" s="129"/>
      <c r="I48" s="129"/>
      <c r="J48" s="129"/>
      <c r="K48" s="114"/>
      <c r="L48" s="114"/>
      <c r="M48" s="114"/>
      <c r="N48" s="114"/>
      <c r="O48" s="114"/>
      <c r="P48" s="114"/>
      <c r="Q48" s="128">
        <f t="shared" ref="Q48:Q52" si="10">SUM(E48:P48)</f>
        <v>1547097558</v>
      </c>
      <c r="R48" s="130">
        <f t="shared" ref="R48:R52" si="11">Q48/D47</f>
        <v>0.47963093936011902</v>
      </c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</row>
    <row r="49" spans="1:29" ht="30">
      <c r="A49" s="125">
        <v>3</v>
      </c>
      <c r="B49" s="151"/>
      <c r="C49" s="115" t="s">
        <v>113</v>
      </c>
      <c r="D49" s="139">
        <v>5000000000</v>
      </c>
      <c r="E49" s="152">
        <v>0</v>
      </c>
      <c r="F49" s="152">
        <v>0</v>
      </c>
      <c r="G49" s="152">
        <v>850000000</v>
      </c>
      <c r="H49" s="129"/>
      <c r="I49" s="129"/>
      <c r="J49" s="129"/>
      <c r="K49" s="114"/>
      <c r="L49" s="114"/>
      <c r="M49" s="114"/>
      <c r="N49" s="114"/>
      <c r="O49" s="114"/>
      <c r="P49" s="114"/>
      <c r="Q49" s="128">
        <f t="shared" si="10"/>
        <v>850000000</v>
      </c>
      <c r="R49" s="130">
        <f t="shared" si="11"/>
        <v>6.0714285714285714E-2</v>
      </c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</row>
    <row r="50" spans="1:29" ht="30">
      <c r="A50" s="125">
        <v>4</v>
      </c>
      <c r="B50" s="151"/>
      <c r="C50" s="115" t="s">
        <v>114</v>
      </c>
      <c r="D50" s="139">
        <v>3750000000</v>
      </c>
      <c r="E50" s="152">
        <v>0</v>
      </c>
      <c r="F50" s="152">
        <v>0</v>
      </c>
      <c r="G50" s="152">
        <v>400000000</v>
      </c>
      <c r="H50" s="129"/>
      <c r="I50" s="129"/>
      <c r="J50" s="114"/>
      <c r="K50" s="114"/>
      <c r="L50" s="114"/>
      <c r="M50" s="114"/>
      <c r="N50" s="114"/>
      <c r="O50" s="114"/>
      <c r="P50" s="114"/>
      <c r="Q50" s="128">
        <f t="shared" si="10"/>
        <v>400000000</v>
      </c>
      <c r="R50" s="130">
        <f t="shared" si="11"/>
        <v>0.08</v>
      </c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</row>
    <row r="51" spans="1:29" ht="30">
      <c r="A51" s="125">
        <v>5</v>
      </c>
      <c r="B51" s="151"/>
      <c r="C51" s="115" t="s">
        <v>115</v>
      </c>
      <c r="D51" s="139">
        <v>150000000</v>
      </c>
      <c r="E51" s="152">
        <v>0</v>
      </c>
      <c r="F51" s="152">
        <v>0</v>
      </c>
      <c r="G51" s="152">
        <v>0</v>
      </c>
      <c r="H51" s="129"/>
      <c r="I51" s="129"/>
      <c r="J51" s="114"/>
      <c r="K51" s="114"/>
      <c r="L51" s="114"/>
      <c r="M51" s="114"/>
      <c r="N51" s="114"/>
      <c r="O51" s="114"/>
      <c r="P51" s="114"/>
      <c r="Q51" s="128">
        <f t="shared" si="10"/>
        <v>0</v>
      </c>
      <c r="R51" s="130">
        <f t="shared" si="11"/>
        <v>0</v>
      </c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</row>
    <row r="52" spans="1:29" ht="30">
      <c r="A52" s="125">
        <v>6</v>
      </c>
      <c r="B52" s="151"/>
      <c r="C52" s="115" t="s">
        <v>116</v>
      </c>
      <c r="D52" s="139">
        <v>1600000000</v>
      </c>
      <c r="E52" s="152">
        <f>201000000+'[2]هزینه سه ماهه اول'!E51</f>
        <v>247000000</v>
      </c>
      <c r="F52" s="152">
        <f>211500000+'[2]هزینه سه ماهه اول'!F51</f>
        <v>344700000</v>
      </c>
      <c r="G52" s="152">
        <f>148000000+'[2]هزینه سه ماهه اول'!G51</f>
        <v>402500000</v>
      </c>
      <c r="H52" s="129"/>
      <c r="I52" s="129"/>
      <c r="J52" s="114"/>
      <c r="K52" s="114"/>
      <c r="L52" s="114"/>
      <c r="M52" s="114"/>
      <c r="N52" s="114"/>
      <c r="O52" s="114"/>
      <c r="P52" s="114"/>
      <c r="Q52" s="128">
        <f t="shared" si="10"/>
        <v>994200000</v>
      </c>
      <c r="R52" s="130">
        <f t="shared" si="11"/>
        <v>6.6280000000000001</v>
      </c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</row>
    <row r="53" spans="1:29" ht="30">
      <c r="A53" s="153" t="s">
        <v>21</v>
      </c>
      <c r="B53" s="154"/>
      <c r="C53" s="155"/>
      <c r="D53" s="156">
        <f t="shared" ref="D53:R53" si="12">SUM(D47:D52)</f>
        <v>27725600000</v>
      </c>
      <c r="E53" s="156">
        <f>SUM(E47:E52)</f>
        <v>1354258058</v>
      </c>
      <c r="F53" s="156">
        <f>SUM(F47:F52)</f>
        <v>674715495</v>
      </c>
      <c r="G53" s="156">
        <f>SUM(G47:G52)</f>
        <v>2677020495</v>
      </c>
      <c r="H53" s="156">
        <f t="shared" si="12"/>
        <v>0</v>
      </c>
      <c r="I53" s="156">
        <f t="shared" si="12"/>
        <v>0</v>
      </c>
      <c r="J53" s="156">
        <f t="shared" si="12"/>
        <v>0</v>
      </c>
      <c r="K53" s="156">
        <f t="shared" si="12"/>
        <v>0</v>
      </c>
      <c r="L53" s="156">
        <f t="shared" si="12"/>
        <v>0</v>
      </c>
      <c r="M53" s="156">
        <f t="shared" si="12"/>
        <v>0</v>
      </c>
      <c r="N53" s="156">
        <f t="shared" si="12"/>
        <v>0</v>
      </c>
      <c r="O53" s="156">
        <f t="shared" si="12"/>
        <v>0</v>
      </c>
      <c r="P53" s="156">
        <f t="shared" si="12"/>
        <v>0</v>
      </c>
      <c r="Q53" s="156">
        <f t="shared" si="12"/>
        <v>4705994048</v>
      </c>
      <c r="R53" s="157">
        <f t="shared" si="12"/>
        <v>7.249779811667576</v>
      </c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</row>
    <row r="54" spans="1:29" ht="30" customHeight="1">
      <c r="A54" s="158">
        <v>1</v>
      </c>
      <c r="B54" s="159" t="s">
        <v>117</v>
      </c>
      <c r="C54" s="160" t="s">
        <v>118</v>
      </c>
      <c r="D54" s="161">
        <v>5184000000</v>
      </c>
      <c r="E54" s="118"/>
      <c r="F54" s="118"/>
      <c r="G54" s="118"/>
      <c r="H54" s="129"/>
      <c r="I54" s="129"/>
      <c r="J54" s="129"/>
      <c r="K54" s="114"/>
      <c r="L54" s="114"/>
      <c r="M54" s="114"/>
      <c r="N54" s="114"/>
      <c r="O54" s="114"/>
      <c r="P54" s="114"/>
      <c r="Q54" s="161">
        <f>SUM(E54:P54)</f>
        <v>0</v>
      </c>
      <c r="R54" s="162">
        <f t="shared" si="4"/>
        <v>0</v>
      </c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</row>
    <row r="55" spans="1:29" ht="30">
      <c r="A55" s="163">
        <v>2</v>
      </c>
      <c r="B55" s="164"/>
      <c r="C55" s="127" t="s">
        <v>119</v>
      </c>
      <c r="D55" s="161">
        <v>4800000000</v>
      </c>
      <c r="E55" s="118"/>
      <c r="F55" s="118"/>
      <c r="G55" s="118"/>
      <c r="H55" s="129"/>
      <c r="I55" s="129"/>
      <c r="J55" s="129"/>
      <c r="K55" s="114"/>
      <c r="L55" s="114"/>
      <c r="M55" s="114"/>
      <c r="N55" s="114"/>
      <c r="O55" s="114"/>
      <c r="P55" s="114"/>
      <c r="Q55" s="161">
        <f t="shared" ref="Q55:Q58" si="13">SUM(E55:P55)</f>
        <v>0</v>
      </c>
      <c r="R55" s="162">
        <f t="shared" si="4"/>
        <v>0</v>
      </c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</row>
    <row r="56" spans="1:29" ht="30">
      <c r="A56" s="163">
        <v>3</v>
      </c>
      <c r="B56" s="164"/>
      <c r="C56" s="127" t="s">
        <v>120</v>
      </c>
      <c r="D56" s="161">
        <v>800000000</v>
      </c>
      <c r="E56" s="118"/>
      <c r="F56" s="118"/>
      <c r="G56" s="118"/>
      <c r="H56" s="118"/>
      <c r="I56" s="118"/>
      <c r="J56" s="118"/>
      <c r="K56" s="114"/>
      <c r="L56" s="114"/>
      <c r="M56" s="114"/>
      <c r="N56" s="114"/>
      <c r="O56" s="114"/>
      <c r="P56" s="114"/>
      <c r="Q56" s="161">
        <f t="shared" si="13"/>
        <v>0</v>
      </c>
      <c r="R56" s="162">
        <f t="shared" si="4"/>
        <v>0</v>
      </c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</row>
    <row r="57" spans="1:29" ht="30">
      <c r="A57" s="163">
        <v>4</v>
      </c>
      <c r="B57" s="164"/>
      <c r="C57" s="127" t="s">
        <v>121</v>
      </c>
      <c r="D57" s="161">
        <v>360000000</v>
      </c>
      <c r="E57" s="118"/>
      <c r="F57" s="118"/>
      <c r="G57" s="113">
        <f>'[2]هزینه سه ماهه اول'!G76</f>
        <v>132980000</v>
      </c>
      <c r="H57" s="118"/>
      <c r="I57" s="118"/>
      <c r="J57" s="118"/>
      <c r="K57" s="114"/>
      <c r="L57" s="114"/>
      <c r="M57" s="114"/>
      <c r="N57" s="114"/>
      <c r="O57" s="114"/>
      <c r="P57" s="114"/>
      <c r="Q57" s="161">
        <f t="shared" si="13"/>
        <v>132980000</v>
      </c>
      <c r="R57" s="162">
        <f t="shared" si="4"/>
        <v>0.36938888888888888</v>
      </c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</row>
    <row r="58" spans="1:29" ht="30">
      <c r="A58" s="163">
        <v>5</v>
      </c>
      <c r="B58" s="165"/>
      <c r="C58" s="127" t="s">
        <v>122</v>
      </c>
      <c r="D58" s="161">
        <v>450000000</v>
      </c>
      <c r="E58" s="118">
        <f>'[2]هزینه سه ماهه اول'!E28</f>
        <v>0</v>
      </c>
      <c r="F58" s="118">
        <f>'[2]هزینه سه ماهه اول'!F28</f>
        <v>97990000</v>
      </c>
      <c r="G58" s="118">
        <f>'[2]هزینه سه ماهه اول'!G28</f>
        <v>43520000</v>
      </c>
      <c r="H58" s="129"/>
      <c r="I58" s="129"/>
      <c r="J58" s="129"/>
      <c r="K58" s="114"/>
      <c r="L58" s="114"/>
      <c r="M58" s="114"/>
      <c r="N58" s="114"/>
      <c r="O58" s="114"/>
      <c r="P58" s="114"/>
      <c r="Q58" s="161">
        <f t="shared" si="13"/>
        <v>141510000</v>
      </c>
      <c r="R58" s="162">
        <f t="shared" si="4"/>
        <v>0.31446666666666667</v>
      </c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</row>
    <row r="59" spans="1:29" ht="31.5">
      <c r="A59" s="166" t="s">
        <v>21</v>
      </c>
      <c r="B59" s="167"/>
      <c r="C59" s="167"/>
      <c r="D59" s="168">
        <f>SUM(D54:D58)</f>
        <v>11594000000</v>
      </c>
      <c r="E59" s="168">
        <f>SUM(E54:E58)</f>
        <v>0</v>
      </c>
      <c r="F59" s="168">
        <f t="shared" ref="F59:P59" si="14">SUM(F54:F58)</f>
        <v>97990000</v>
      </c>
      <c r="G59" s="168">
        <f>SUM(G54:G58)</f>
        <v>176500000</v>
      </c>
      <c r="H59" s="168">
        <f t="shared" si="14"/>
        <v>0</v>
      </c>
      <c r="I59" s="168">
        <f t="shared" si="14"/>
        <v>0</v>
      </c>
      <c r="J59" s="168">
        <f t="shared" si="14"/>
        <v>0</v>
      </c>
      <c r="K59" s="168">
        <f t="shared" si="14"/>
        <v>0</v>
      </c>
      <c r="L59" s="168">
        <f t="shared" si="14"/>
        <v>0</v>
      </c>
      <c r="M59" s="168">
        <f t="shared" si="14"/>
        <v>0</v>
      </c>
      <c r="N59" s="168">
        <f t="shared" si="14"/>
        <v>0</v>
      </c>
      <c r="O59" s="168">
        <f t="shared" si="14"/>
        <v>0</v>
      </c>
      <c r="P59" s="168">
        <f t="shared" si="14"/>
        <v>0</v>
      </c>
      <c r="Q59" s="168">
        <f>SUM(Q54:Q58)</f>
        <v>274490000</v>
      </c>
      <c r="R59" s="169">
        <f>Q59/D59</f>
        <v>2.3675176815594272E-2</v>
      </c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</row>
    <row r="60" spans="1:29" ht="30">
      <c r="A60" s="125">
        <v>1</v>
      </c>
      <c r="B60" s="170" t="s">
        <v>123</v>
      </c>
      <c r="C60" s="115" t="s">
        <v>124</v>
      </c>
      <c r="D60" s="128">
        <v>7610000000</v>
      </c>
      <c r="E60" s="113">
        <f>'[2]هزینه سه ماهه اول'!E11</f>
        <v>0</v>
      </c>
      <c r="F60" s="113">
        <f>'[2]هزینه سه ماهه اول'!F11</f>
        <v>0</v>
      </c>
      <c r="G60" s="113">
        <f>'[2]هزینه سه ماهه اول'!G11</f>
        <v>0</v>
      </c>
      <c r="H60" s="129"/>
      <c r="I60" s="129"/>
      <c r="J60" s="129"/>
      <c r="K60" s="129"/>
      <c r="L60" s="114"/>
      <c r="M60" s="114"/>
      <c r="N60" s="114"/>
      <c r="O60" s="114"/>
      <c r="P60" s="114"/>
      <c r="Q60" s="128">
        <f>SUM(E60:P60)</f>
        <v>0</v>
      </c>
      <c r="R60" s="130">
        <f t="shared" ref="R60:R63" si="15">Q60/D60</f>
        <v>0</v>
      </c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</row>
    <row r="61" spans="1:29" ht="30">
      <c r="A61" s="125">
        <v>2</v>
      </c>
      <c r="B61" s="171"/>
      <c r="C61" s="115" t="s">
        <v>125</v>
      </c>
      <c r="D61" s="128">
        <v>5322000000</v>
      </c>
      <c r="E61" s="113">
        <f>'[2]هزینه سه ماهه اول'!E21+'[2]هزینه سه ماهه اول'!E37+'[2]هزینه سه ماهه اول'!E50</f>
        <v>507116500</v>
      </c>
      <c r="F61" s="113">
        <f>'[2]هزینه سه ماهه اول'!F21+'[2]هزینه سه ماهه اول'!F37+'[2]هزینه سه ماهه اول'!F50</f>
        <v>174539800</v>
      </c>
      <c r="G61" s="113">
        <f>'[2]هزینه سه ماهه اول'!G21+'[2]هزینه سه ماهه اول'!G37+'[2]هزینه سه ماهه اول'!G50</f>
        <v>2203394584</v>
      </c>
      <c r="H61" s="129"/>
      <c r="I61" s="129"/>
      <c r="J61" s="129"/>
      <c r="K61" s="114"/>
      <c r="L61" s="114"/>
      <c r="M61" s="114"/>
      <c r="N61" s="114"/>
      <c r="O61" s="114"/>
      <c r="P61" s="114"/>
      <c r="Q61" s="128">
        <f>SUM(E61:P61)</f>
        <v>2885050884</v>
      </c>
      <c r="R61" s="130">
        <f t="shared" si="15"/>
        <v>0.54209900112739573</v>
      </c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</row>
    <row r="62" spans="1:29" ht="30">
      <c r="A62" s="125">
        <v>3</v>
      </c>
      <c r="B62" s="171"/>
      <c r="C62" s="115" t="s">
        <v>126</v>
      </c>
      <c r="D62" s="128">
        <v>8640000000</v>
      </c>
      <c r="E62" s="113">
        <v>0</v>
      </c>
      <c r="F62" s="113">
        <v>0</v>
      </c>
      <c r="G62" s="113">
        <v>0</v>
      </c>
      <c r="H62" s="129"/>
      <c r="I62" s="129"/>
      <c r="J62" s="129"/>
      <c r="K62" s="114"/>
      <c r="L62" s="114"/>
      <c r="M62" s="114"/>
      <c r="N62" s="114"/>
      <c r="O62" s="114"/>
      <c r="P62" s="114"/>
      <c r="Q62" s="128">
        <f>SUM(E62:P62)</f>
        <v>0</v>
      </c>
      <c r="R62" s="130">
        <f t="shared" si="15"/>
        <v>0</v>
      </c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</row>
    <row r="63" spans="1:29" ht="30">
      <c r="A63" s="172">
        <v>4</v>
      </c>
      <c r="B63" s="171"/>
      <c r="C63" s="116" t="s">
        <v>127</v>
      </c>
      <c r="D63" s="128">
        <v>15606000000</v>
      </c>
      <c r="E63" s="113">
        <f>'[2]هزینه سه ماهه اول'!E31+'[2]هزینه سه ماهه اول'!E56+'[2]هزینه سه ماهه اول'!E57+'[2]هزینه سه ماهه اول'!E55</f>
        <v>937727000</v>
      </c>
      <c r="F63" s="113">
        <f>'[2]هزینه سه ماهه اول'!F31+'[2]هزینه سه ماهه اول'!F56+'[2]هزینه سه ماهه اول'!F57+'[2]هزینه سه ماهه اول'!F55</f>
        <v>383484000</v>
      </c>
      <c r="G63" s="113">
        <f>'[2]هزینه سه ماهه اول'!G31+'[2]هزینه سه ماهه اول'!G56+'[2]هزینه سه ماهه اول'!G57+'[2]هزینه سه ماهه اول'!G55-310650004</f>
        <v>1989863500</v>
      </c>
      <c r="H63" s="129"/>
      <c r="I63" s="129"/>
      <c r="J63" s="129"/>
      <c r="K63" s="114"/>
      <c r="L63" s="114"/>
      <c r="M63" s="114"/>
      <c r="N63" s="114"/>
      <c r="O63" s="114"/>
      <c r="P63" s="114"/>
      <c r="Q63" s="128">
        <f>SUM(E63:P63)</f>
        <v>3311074500</v>
      </c>
      <c r="R63" s="130">
        <f t="shared" si="15"/>
        <v>0.21216676278354479</v>
      </c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</row>
    <row r="64" spans="1:29" ht="32.25" customHeight="1" thickBot="1">
      <c r="A64" s="173" t="s">
        <v>21</v>
      </c>
      <c r="B64" s="174"/>
      <c r="C64" s="175"/>
      <c r="D64" s="176">
        <f>SUM(D60:D63)</f>
        <v>37178000000</v>
      </c>
      <c r="E64" s="176">
        <f>SUM(E60:E63)</f>
        <v>1444843500</v>
      </c>
      <c r="F64" s="176">
        <f>SUM(F60:F63)</f>
        <v>558023800</v>
      </c>
      <c r="G64" s="176">
        <f>SUM(G60:G63)</f>
        <v>4193258084</v>
      </c>
      <c r="H64" s="176">
        <f t="shared" ref="H64:P64" si="16">SUM(H60:H63)</f>
        <v>0</v>
      </c>
      <c r="I64" s="176">
        <f t="shared" si="16"/>
        <v>0</v>
      </c>
      <c r="J64" s="176">
        <f t="shared" si="16"/>
        <v>0</v>
      </c>
      <c r="K64" s="176">
        <f t="shared" si="16"/>
        <v>0</v>
      </c>
      <c r="L64" s="176">
        <f t="shared" si="16"/>
        <v>0</v>
      </c>
      <c r="M64" s="176">
        <f t="shared" si="16"/>
        <v>0</v>
      </c>
      <c r="N64" s="176">
        <f t="shared" si="16"/>
        <v>0</v>
      </c>
      <c r="O64" s="176">
        <f t="shared" si="16"/>
        <v>0</v>
      </c>
      <c r="P64" s="176">
        <f t="shared" si="16"/>
        <v>0</v>
      </c>
      <c r="Q64" s="176">
        <f>SUM(Q60:Q63)</f>
        <v>6196125384</v>
      </c>
      <c r="R64" s="177">
        <f>Q64/D64</f>
        <v>0.16666107332293292</v>
      </c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</row>
    <row r="65" spans="1:29" ht="32.25" thickBot="1">
      <c r="A65" s="178" t="s">
        <v>43</v>
      </c>
      <c r="B65" s="179"/>
      <c r="C65" s="179"/>
      <c r="D65" s="180">
        <f>D23+D32+D46+D53+D59+D64</f>
        <v>753763021524.83533</v>
      </c>
      <c r="E65" s="180">
        <f>E23+E32+E46+E53+E59+E64</f>
        <v>44644122570</v>
      </c>
      <c r="F65" s="180">
        <f>F23+F32+F46+F53+F59+F64</f>
        <v>51876365535</v>
      </c>
      <c r="G65" s="180">
        <f>G23+G32+G46+G53+G59+G64</f>
        <v>56841269079</v>
      </c>
      <c r="H65" s="180">
        <f>H59+H46+H32+H23+H64</f>
        <v>0</v>
      </c>
      <c r="I65" s="180">
        <f>I59+I46+I32+I23+I64</f>
        <v>0</v>
      </c>
      <c r="J65" s="180">
        <f>J59+J46+J32+J23+J64</f>
        <v>0</v>
      </c>
      <c r="K65" s="180"/>
      <c r="L65" s="180"/>
      <c r="M65" s="180"/>
      <c r="N65" s="180"/>
      <c r="O65" s="180"/>
      <c r="P65" s="180"/>
      <c r="Q65" s="180">
        <f>Q59+Q53+Q46+Q32+Q23+Q64</f>
        <v>153361757184</v>
      </c>
      <c r="R65" s="181">
        <f>Q65/D65</f>
        <v>0.20346150289218848</v>
      </c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</row>
    <row r="66" spans="1:29" ht="31.5">
      <c r="A66" s="182"/>
      <c r="B66" s="182"/>
      <c r="C66" s="182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4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</row>
    <row r="67" spans="1:29" s="192" customFormat="1" ht="28.15" customHeight="1">
      <c r="A67" s="185"/>
      <c r="B67" s="186" t="s">
        <v>128</v>
      </c>
      <c r="C67" s="187" t="s">
        <v>129</v>
      </c>
      <c r="D67" s="188"/>
      <c r="E67" s="113">
        <v>41817500000</v>
      </c>
      <c r="F67" s="113">
        <v>53844500000</v>
      </c>
      <c r="G67" s="113">
        <v>48946000000</v>
      </c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90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</row>
    <row r="68" spans="1:29" ht="37.15" customHeight="1">
      <c r="A68" s="193"/>
      <c r="B68" s="194"/>
      <c r="C68" s="187" t="s">
        <v>130</v>
      </c>
      <c r="D68" s="188">
        <v>7800000000</v>
      </c>
      <c r="E68" s="113">
        <v>0</v>
      </c>
      <c r="F68" s="113">
        <v>0</v>
      </c>
      <c r="G68" s="113">
        <v>0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95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</row>
    <row r="69" spans="1:29" ht="37.15" customHeight="1">
      <c r="A69" s="193"/>
      <c r="B69" s="194"/>
      <c r="C69" s="187" t="s">
        <v>131</v>
      </c>
      <c r="D69" s="188">
        <v>9000000000</v>
      </c>
      <c r="E69" s="113">
        <v>0</v>
      </c>
      <c r="F69" s="113">
        <v>0</v>
      </c>
      <c r="G69" s="113">
        <v>0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95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</row>
    <row r="70" spans="1:29" ht="37.15" customHeight="1">
      <c r="A70" s="193"/>
      <c r="B70" s="194"/>
      <c r="C70" s="187" t="s">
        <v>132</v>
      </c>
      <c r="D70" s="188">
        <v>6000000000</v>
      </c>
      <c r="E70" s="113">
        <v>0</v>
      </c>
      <c r="F70" s="113">
        <v>0</v>
      </c>
      <c r="G70" s="113">
        <v>0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95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</row>
    <row r="71" spans="1:29" ht="37.15" customHeight="1">
      <c r="A71" s="193"/>
      <c r="B71" s="194"/>
      <c r="C71" s="187" t="s">
        <v>133</v>
      </c>
      <c r="D71" s="188">
        <v>1700000000</v>
      </c>
      <c r="E71" s="113">
        <v>0</v>
      </c>
      <c r="F71" s="113">
        <v>0</v>
      </c>
      <c r="G71" s="113">
        <v>0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95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</row>
    <row r="72" spans="1:29" ht="37.15" customHeight="1">
      <c r="A72" s="193"/>
      <c r="B72" s="194"/>
      <c r="C72" s="187" t="s">
        <v>134</v>
      </c>
      <c r="D72" s="188">
        <v>12600000000</v>
      </c>
      <c r="E72" s="113">
        <v>0</v>
      </c>
      <c r="F72" s="113">
        <v>0</v>
      </c>
      <c r="G72" s="113">
        <v>0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95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</row>
    <row r="73" spans="1:29" ht="37.15" customHeight="1">
      <c r="A73" s="193"/>
      <c r="B73" s="194"/>
      <c r="C73" s="187" t="s">
        <v>135</v>
      </c>
      <c r="D73" s="188">
        <v>58320000000</v>
      </c>
      <c r="E73" s="113">
        <v>8435067000</v>
      </c>
      <c r="F73" s="113">
        <v>8005642000</v>
      </c>
      <c r="G73" s="113">
        <v>5899352000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95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</row>
    <row r="74" spans="1:29" ht="37.15" customHeight="1">
      <c r="A74" s="193"/>
      <c r="B74" s="194"/>
      <c r="C74" s="187" t="s">
        <v>136</v>
      </c>
      <c r="D74" s="188">
        <v>18000000000</v>
      </c>
      <c r="E74" s="113">
        <v>80000000</v>
      </c>
      <c r="F74" s="113">
        <v>80000000</v>
      </c>
      <c r="G74" s="113">
        <v>120000000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95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</row>
    <row r="75" spans="1:29" ht="37.15" customHeight="1">
      <c r="A75" s="193"/>
      <c r="B75" s="194"/>
      <c r="C75" s="187" t="s">
        <v>137</v>
      </c>
      <c r="D75" s="188">
        <v>34560000000</v>
      </c>
      <c r="E75" s="113">
        <v>326343627</v>
      </c>
      <c r="F75" s="113">
        <v>80930814</v>
      </c>
      <c r="G75" s="113">
        <v>552930179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95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</row>
    <row r="76" spans="1:29" ht="37.15" customHeight="1">
      <c r="A76" s="193"/>
      <c r="B76" s="194"/>
      <c r="C76" s="187" t="s">
        <v>138</v>
      </c>
      <c r="D76" s="188">
        <v>2400000000</v>
      </c>
      <c r="E76" s="113">
        <v>0</v>
      </c>
      <c r="F76" s="113">
        <v>35072498</v>
      </c>
      <c r="G76" s="113">
        <f>46150000+280000+350000000</f>
        <v>396430000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95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</row>
    <row r="77" spans="1:29" ht="37.15" customHeight="1">
      <c r="A77" s="193"/>
      <c r="B77" s="196"/>
      <c r="C77" s="197" t="s">
        <v>139</v>
      </c>
      <c r="D77" s="188">
        <f>SUM(D68:D76)</f>
        <v>150380000000</v>
      </c>
      <c r="E77" s="197">
        <f t="shared" ref="E77:R77" si="17">SUM(E67:E76)</f>
        <v>50658910627</v>
      </c>
      <c r="F77" s="197">
        <f t="shared" si="17"/>
        <v>62046145312</v>
      </c>
      <c r="G77" s="197">
        <f t="shared" si="17"/>
        <v>55914712179</v>
      </c>
      <c r="H77" s="197">
        <f t="shared" si="17"/>
        <v>0</v>
      </c>
      <c r="I77" s="197">
        <f t="shared" si="17"/>
        <v>0</v>
      </c>
      <c r="J77" s="197">
        <f t="shared" si="17"/>
        <v>0</v>
      </c>
      <c r="K77" s="197">
        <f t="shared" si="17"/>
        <v>0</v>
      </c>
      <c r="L77" s="197">
        <f t="shared" si="17"/>
        <v>0</v>
      </c>
      <c r="M77" s="197">
        <f t="shared" si="17"/>
        <v>0</v>
      </c>
      <c r="N77" s="197">
        <f t="shared" si="17"/>
        <v>0</v>
      </c>
      <c r="O77" s="197">
        <f t="shared" si="17"/>
        <v>0</v>
      </c>
      <c r="P77" s="197">
        <f t="shared" si="17"/>
        <v>0</v>
      </c>
      <c r="Q77" s="197">
        <f t="shared" si="17"/>
        <v>0</v>
      </c>
      <c r="R77" s="197">
        <f t="shared" si="17"/>
        <v>0</v>
      </c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</row>
    <row r="78" spans="1:29" ht="21">
      <c r="A78" s="193"/>
      <c r="B78" s="196"/>
      <c r="C78" s="198"/>
      <c r="D78" s="198"/>
      <c r="E78" s="198"/>
      <c r="F78" s="198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3"/>
      <c r="R78" s="199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</row>
    <row r="79" spans="1:29" ht="21">
      <c r="A79" s="193"/>
      <c r="B79" s="196"/>
      <c r="C79" s="198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3"/>
      <c r="R79" s="199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2"/>
    </row>
    <row r="80" spans="1:29" ht="27.75">
      <c r="A80" s="200"/>
      <c r="B80" s="200" t="s">
        <v>140</v>
      </c>
      <c r="C80" s="200" t="s">
        <v>141</v>
      </c>
      <c r="D80" s="200" t="s">
        <v>142</v>
      </c>
      <c r="E80" s="200"/>
      <c r="F80" s="200"/>
      <c r="G80" s="200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</row>
    <row r="81" spans="1:29" ht="33.75">
      <c r="A81" s="200"/>
      <c r="B81" s="200" t="s">
        <v>143</v>
      </c>
      <c r="C81" s="200"/>
      <c r="D81" s="200"/>
      <c r="E81" s="200"/>
      <c r="F81" s="200"/>
      <c r="G81" s="200">
        <v>310650004</v>
      </c>
      <c r="H81" s="200"/>
      <c r="I81" s="200"/>
      <c r="J81" s="200"/>
      <c r="K81" s="200"/>
      <c r="L81" s="200"/>
      <c r="M81" s="200"/>
      <c r="N81" s="200"/>
      <c r="O81" s="118"/>
      <c r="P81" s="118"/>
      <c r="Q81" s="201">
        <f>SUM(E81:P81)</f>
        <v>310650004</v>
      </c>
      <c r="R81" s="202" t="e">
        <f>Q81/D81</f>
        <v>#DIV/0!</v>
      </c>
      <c r="S81" s="142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</row>
    <row r="82" spans="1:29" ht="21">
      <c r="A82" s="193"/>
      <c r="B82" s="196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3"/>
      <c r="R82" s="199"/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C82" s="142"/>
    </row>
    <row r="83" spans="1:29" ht="21">
      <c r="A83" s="193"/>
      <c r="B83" s="196"/>
      <c r="C83" s="198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3"/>
      <c r="R83" s="199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42"/>
    </row>
    <row r="84" spans="1:29" ht="21">
      <c r="A84" s="193"/>
      <c r="B84" s="196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3"/>
      <c r="R84" s="199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2"/>
    </row>
    <row r="85" spans="1:29" ht="21">
      <c r="A85" s="193"/>
      <c r="B85" s="196"/>
      <c r="C85" s="198"/>
      <c r="D85" s="198"/>
      <c r="E85" s="198"/>
      <c r="F85" s="198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3"/>
      <c r="R85" s="199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</row>
    <row r="86" spans="1:29" ht="21">
      <c r="A86" s="193"/>
      <c r="B86" s="196"/>
      <c r="C86" s="198"/>
      <c r="D86" s="198"/>
      <c r="E86" s="198"/>
      <c r="F86" s="198"/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3"/>
      <c r="R86" s="199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</row>
    <row r="87" spans="1:29" ht="21">
      <c r="A87" s="193"/>
      <c r="B87" s="196"/>
      <c r="C87" s="198"/>
      <c r="D87" s="198"/>
      <c r="E87" s="198"/>
      <c r="F87" s="198"/>
      <c r="G87" s="198"/>
      <c r="H87" s="198"/>
      <c r="I87" s="198"/>
      <c r="J87" s="198"/>
      <c r="K87" s="198"/>
      <c r="L87" s="198"/>
      <c r="M87" s="198"/>
      <c r="N87" s="198"/>
      <c r="O87" s="198"/>
      <c r="P87" s="198"/>
      <c r="Q87" s="193"/>
      <c r="R87" s="199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</row>
    <row r="88" spans="1:29" ht="21">
      <c r="A88" s="193"/>
      <c r="B88" s="196"/>
      <c r="C88" s="198"/>
      <c r="D88" s="198"/>
      <c r="E88" s="198"/>
      <c r="F88" s="198"/>
      <c r="G88" s="198"/>
      <c r="H88" s="198"/>
      <c r="I88" s="198"/>
      <c r="J88" s="198"/>
      <c r="K88" s="198"/>
      <c r="L88" s="198"/>
      <c r="M88" s="198"/>
      <c r="N88" s="198"/>
      <c r="O88" s="198"/>
      <c r="P88" s="198"/>
      <c r="Q88" s="193"/>
      <c r="R88" s="199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</row>
    <row r="89" spans="1:29" ht="21">
      <c r="A89" s="193"/>
      <c r="B89" s="196"/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3"/>
      <c r="R89" s="199"/>
      <c r="S89" s="142"/>
      <c r="T89" s="142"/>
      <c r="U89" s="142"/>
      <c r="V89" s="142"/>
      <c r="W89" s="142"/>
      <c r="X89" s="142"/>
      <c r="Y89" s="142"/>
      <c r="Z89" s="142"/>
      <c r="AA89" s="142"/>
      <c r="AB89" s="142"/>
      <c r="AC89" s="142"/>
    </row>
    <row r="90" spans="1:29" ht="21">
      <c r="A90" s="193"/>
      <c r="B90" s="196"/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8"/>
      <c r="N90" s="198"/>
      <c r="O90" s="198"/>
      <c r="P90" s="198"/>
      <c r="Q90" s="193"/>
      <c r="R90" s="199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</row>
    <row r="91" spans="1:29" ht="21">
      <c r="A91" s="193"/>
      <c r="B91" s="196"/>
      <c r="C91" s="198"/>
      <c r="D91" s="198"/>
      <c r="E91" s="198"/>
      <c r="F91" s="198"/>
      <c r="G91" s="198"/>
      <c r="H91" s="198"/>
      <c r="I91" s="198"/>
      <c r="J91" s="198"/>
      <c r="K91" s="198"/>
      <c r="L91" s="198"/>
      <c r="M91" s="198"/>
      <c r="N91" s="198"/>
      <c r="O91" s="198"/>
      <c r="P91" s="198"/>
      <c r="Q91" s="193"/>
      <c r="R91" s="199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</row>
    <row r="92" spans="1:29" ht="21">
      <c r="A92" s="193"/>
      <c r="B92" s="196"/>
      <c r="C92" s="198"/>
      <c r="D92" s="198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3"/>
      <c r="R92" s="199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</row>
    <row r="93" spans="1:29" ht="21" customHeight="1">
      <c r="A93" s="193"/>
      <c r="B93" s="196"/>
      <c r="C93" s="198"/>
      <c r="D93" s="198"/>
      <c r="E93" s="198"/>
      <c r="F93" s="198"/>
      <c r="G93" s="198"/>
      <c r="H93" s="198"/>
      <c r="I93" s="198"/>
      <c r="J93" s="198"/>
      <c r="K93" s="198"/>
      <c r="L93" s="198"/>
      <c r="M93" s="198"/>
      <c r="N93" s="198"/>
      <c r="O93" s="198"/>
      <c r="P93" s="198"/>
      <c r="Q93" s="193"/>
      <c r="R93" s="199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42"/>
    </row>
    <row r="94" spans="1:29" ht="21" customHeight="1">
      <c r="A94" s="193"/>
      <c r="B94" s="196"/>
      <c r="C94" s="198"/>
      <c r="D94" s="198"/>
      <c r="E94" s="198"/>
      <c r="F94" s="198"/>
      <c r="G94" s="198"/>
      <c r="H94" s="198"/>
      <c r="I94" s="198"/>
      <c r="J94" s="198"/>
      <c r="K94" s="198"/>
      <c r="L94" s="198"/>
      <c r="M94" s="198"/>
      <c r="N94" s="198"/>
      <c r="O94" s="198"/>
      <c r="P94" s="198"/>
      <c r="Q94" s="193"/>
      <c r="R94" s="199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</row>
    <row r="95" spans="1:29" ht="21" customHeight="1">
      <c r="A95" s="193"/>
      <c r="B95" s="196"/>
      <c r="C95" s="198"/>
      <c r="D95" s="198"/>
      <c r="E95" s="198"/>
      <c r="F95" s="198"/>
      <c r="G95" s="198"/>
      <c r="H95" s="198"/>
      <c r="I95" s="198"/>
      <c r="J95" s="198"/>
      <c r="K95" s="198"/>
      <c r="L95" s="198"/>
      <c r="M95" s="198"/>
      <c r="N95" s="198"/>
      <c r="O95" s="198"/>
      <c r="P95" s="198"/>
      <c r="Q95" s="193"/>
      <c r="R95" s="199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</row>
    <row r="96" spans="1:29" ht="21" customHeight="1">
      <c r="A96" s="193"/>
      <c r="B96" s="196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3"/>
      <c r="R96" s="199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</row>
    <row r="97" spans="1:29" ht="21" customHeight="1">
      <c r="A97" s="193"/>
      <c r="B97" s="196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3"/>
      <c r="R97" s="199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</row>
    <row r="98" spans="1:29" ht="21" customHeight="1">
      <c r="A98" s="193"/>
      <c r="B98" s="196"/>
      <c r="C98" s="198"/>
      <c r="D98" s="198"/>
      <c r="E98" s="198"/>
      <c r="F98" s="198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3"/>
      <c r="R98" s="199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</row>
    <row r="99" spans="1:29" ht="21" customHeight="1">
      <c r="A99" s="193"/>
      <c r="B99" s="196"/>
      <c r="C99" s="198"/>
      <c r="D99" s="198"/>
      <c r="E99" s="198"/>
      <c r="F99" s="198"/>
      <c r="G99" s="198"/>
      <c r="H99" s="198"/>
      <c r="I99" s="198"/>
      <c r="J99" s="198"/>
      <c r="K99" s="198"/>
      <c r="L99" s="198"/>
      <c r="M99" s="198"/>
      <c r="N99" s="198"/>
      <c r="O99" s="198"/>
      <c r="P99" s="198"/>
      <c r="Q99" s="193"/>
      <c r="R99" s="199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</row>
    <row r="100" spans="1:29" ht="21" customHeight="1">
      <c r="A100" s="193"/>
      <c r="B100" s="196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3"/>
      <c r="R100" s="199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</row>
    <row r="101" spans="1:29" ht="21" customHeight="1">
      <c r="A101" s="193"/>
      <c r="B101" s="196"/>
      <c r="C101" s="198"/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3"/>
      <c r="R101" s="199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</row>
    <row r="102" spans="1:29" ht="21" customHeight="1">
      <c r="A102" s="193"/>
      <c r="B102" s="196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3"/>
      <c r="R102" s="199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</row>
    <row r="103" spans="1:29" ht="21" customHeight="1">
      <c r="A103" s="193"/>
      <c r="B103" s="196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3"/>
      <c r="R103" s="199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42"/>
    </row>
    <row r="104" spans="1:29" ht="21" customHeight="1">
      <c r="A104" s="193"/>
      <c r="B104" s="196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3"/>
      <c r="R104" s="199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</row>
    <row r="105" spans="1:29" ht="21" customHeight="1">
      <c r="A105" s="193"/>
      <c r="B105" s="196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3"/>
      <c r="R105" s="199"/>
      <c r="S105" s="142"/>
      <c r="T105" s="142"/>
      <c r="U105" s="142"/>
      <c r="V105" s="142"/>
      <c r="W105" s="142"/>
      <c r="X105" s="142"/>
      <c r="Y105" s="142"/>
      <c r="Z105" s="142"/>
      <c r="AA105" s="142"/>
      <c r="AB105" s="142"/>
      <c r="AC105" s="142"/>
    </row>
    <row r="106" spans="1:29" ht="21" customHeight="1">
      <c r="A106" s="193"/>
      <c r="B106" s="196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3"/>
      <c r="R106" s="199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</row>
    <row r="107" spans="1:29" ht="21" customHeight="1">
      <c r="A107" s="193"/>
      <c r="B107" s="196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3"/>
      <c r="R107" s="199"/>
      <c r="S107" s="142"/>
      <c r="T107" s="142"/>
      <c r="U107" s="142"/>
      <c r="V107" s="142"/>
      <c r="W107" s="142"/>
      <c r="X107" s="142"/>
      <c r="Y107" s="142"/>
      <c r="Z107" s="142"/>
      <c r="AA107" s="142"/>
      <c r="AB107" s="142"/>
      <c r="AC107" s="142"/>
    </row>
    <row r="108" spans="1:29" ht="21" customHeight="1">
      <c r="A108" s="193"/>
      <c r="B108" s="196"/>
      <c r="C108" s="198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3"/>
      <c r="R108" s="199"/>
      <c r="S108" s="142"/>
      <c r="T108" s="142"/>
      <c r="U108" s="142"/>
      <c r="V108" s="142"/>
      <c r="W108" s="142"/>
      <c r="X108" s="142"/>
      <c r="Y108" s="142"/>
      <c r="Z108" s="142"/>
      <c r="AA108" s="142"/>
      <c r="AB108" s="142"/>
      <c r="AC108" s="142"/>
    </row>
    <row r="109" spans="1:29" ht="21" customHeight="1">
      <c r="A109" s="193"/>
      <c r="B109" s="196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93"/>
      <c r="R109" s="199"/>
      <c r="S109" s="142"/>
      <c r="T109" s="142"/>
      <c r="U109" s="142"/>
      <c r="V109" s="142"/>
      <c r="W109" s="142"/>
      <c r="X109" s="142"/>
      <c r="Y109" s="142"/>
      <c r="Z109" s="142"/>
      <c r="AA109" s="142"/>
      <c r="AB109" s="142"/>
      <c r="AC109" s="142"/>
    </row>
    <row r="110" spans="1:29" ht="21" customHeight="1">
      <c r="A110" s="193"/>
      <c r="B110" s="196"/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193"/>
      <c r="R110" s="199"/>
      <c r="S110" s="142"/>
      <c r="T110" s="142"/>
      <c r="U110" s="142"/>
      <c r="V110" s="142"/>
      <c r="W110" s="142"/>
      <c r="X110" s="142"/>
      <c r="Y110" s="142"/>
      <c r="Z110" s="142"/>
      <c r="AA110" s="142"/>
      <c r="AB110" s="142"/>
      <c r="AC110" s="142"/>
    </row>
    <row r="111" spans="1:29" ht="21" customHeight="1">
      <c r="A111" s="193"/>
      <c r="B111" s="196"/>
      <c r="C111" s="198"/>
      <c r="D111" s="198"/>
      <c r="E111" s="198"/>
      <c r="F111" s="198"/>
      <c r="G111" s="198"/>
      <c r="H111" s="198"/>
      <c r="I111" s="198"/>
      <c r="J111" s="198"/>
      <c r="K111" s="198"/>
      <c r="L111" s="198"/>
      <c r="M111" s="198"/>
      <c r="N111" s="198"/>
      <c r="O111" s="198"/>
      <c r="P111" s="198"/>
      <c r="Q111" s="193"/>
      <c r="R111" s="199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</row>
    <row r="112" spans="1:29" ht="21" customHeight="1">
      <c r="A112" s="193"/>
      <c r="B112" s="196"/>
      <c r="C112" s="198"/>
      <c r="D112" s="198"/>
      <c r="E112" s="198"/>
      <c r="F112" s="198"/>
      <c r="G112" s="198"/>
      <c r="H112" s="198"/>
      <c r="I112" s="198"/>
      <c r="J112" s="198"/>
      <c r="K112" s="198"/>
      <c r="L112" s="198"/>
      <c r="M112" s="198"/>
      <c r="N112" s="198"/>
      <c r="O112" s="198"/>
      <c r="P112" s="198"/>
      <c r="Q112" s="193"/>
      <c r="R112" s="199"/>
      <c r="S112" s="142"/>
      <c r="T112" s="142"/>
      <c r="U112" s="142"/>
      <c r="V112" s="142"/>
      <c r="W112" s="142"/>
      <c r="X112" s="142"/>
      <c r="Y112" s="142"/>
      <c r="Z112" s="142"/>
      <c r="AA112" s="142"/>
      <c r="AB112" s="142"/>
      <c r="AC112" s="142"/>
    </row>
  </sheetData>
  <mergeCells count="32">
    <mergeCell ref="B60:B63"/>
    <mergeCell ref="A64:C64"/>
    <mergeCell ref="A65:C65"/>
    <mergeCell ref="B67:B76"/>
    <mergeCell ref="A32:C32"/>
    <mergeCell ref="B33:B45"/>
    <mergeCell ref="A46:C46"/>
    <mergeCell ref="B47:B52"/>
    <mergeCell ref="B54:B58"/>
    <mergeCell ref="A59:C59"/>
    <mergeCell ref="P2:P3"/>
    <mergeCell ref="Q2:Q3"/>
    <mergeCell ref="R2:R3"/>
    <mergeCell ref="B4:B22"/>
    <mergeCell ref="A23:C23"/>
    <mergeCell ref="B24:B31"/>
    <mergeCell ref="J2:J3"/>
    <mergeCell ref="K2:K3"/>
    <mergeCell ref="L2:L3"/>
    <mergeCell ref="M2:M3"/>
    <mergeCell ref="N2:N3"/>
    <mergeCell ref="O2:O3"/>
    <mergeCell ref="A1:R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 verticalCentered="1"/>
  <pageMargins left="0" right="0" top="0" bottom="0.27" header="0" footer="0"/>
  <pageSetup paperSize="9" scale="34" fitToHeight="0" orientation="landscape" r:id="rId1"/>
  <rowBreaks count="2" manualBreakCount="2">
    <brk id="19" max="16383" man="1"/>
    <brk id="4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rightToLeft="1" tabSelected="1" zoomScale="85" zoomScaleNormal="85" workbookViewId="0">
      <selection activeCell="K8" sqref="K8"/>
    </sheetView>
  </sheetViews>
  <sheetFormatPr defaultColWidth="18.875" defaultRowHeight="12"/>
  <cols>
    <col min="1" max="1" width="24.625" style="18" customWidth="1"/>
    <col min="2" max="7" width="15.625" style="3" customWidth="1"/>
    <col min="8" max="8" width="17" style="3" customWidth="1"/>
    <col min="9" max="9" width="16.75" style="3" customWidth="1"/>
    <col min="10" max="10" width="11.625" style="3" customWidth="1"/>
    <col min="11" max="12" width="13" style="3" customWidth="1"/>
    <col min="13" max="13" width="9.25" style="3" customWidth="1"/>
    <col min="14" max="14" width="7.625" style="3" customWidth="1"/>
    <col min="15" max="15" width="8.625" style="3" customWidth="1"/>
    <col min="16" max="16384" width="18.875" style="3"/>
  </cols>
  <sheetData>
    <row r="1" spans="1:17" ht="28.5">
      <c r="A1" s="73" t="s">
        <v>42</v>
      </c>
      <c r="B1" s="73"/>
      <c r="C1" s="73"/>
      <c r="D1" s="73"/>
      <c r="E1" s="73"/>
      <c r="F1" s="73"/>
      <c r="G1" s="73"/>
      <c r="H1" s="73"/>
      <c r="I1" s="73"/>
      <c r="J1" s="1"/>
      <c r="K1" s="1"/>
      <c r="L1" s="1"/>
      <c r="M1" s="1"/>
      <c r="N1" s="1"/>
      <c r="O1" s="1"/>
      <c r="P1" s="2"/>
      <c r="Q1" s="2"/>
    </row>
    <row r="2" spans="1:17" ht="33" thickBot="1">
      <c r="A2" s="72" t="s">
        <v>41</v>
      </c>
      <c r="B2" s="72"/>
      <c r="C2" s="72"/>
      <c r="D2" s="72"/>
      <c r="E2" s="72"/>
      <c r="F2" s="72"/>
      <c r="G2" s="72"/>
      <c r="H2" s="72"/>
      <c r="I2" s="72"/>
      <c r="J2" s="1"/>
      <c r="K2" s="1"/>
      <c r="L2" s="1"/>
      <c r="M2" s="1"/>
      <c r="N2" s="1"/>
      <c r="O2" s="1"/>
      <c r="P2" s="2"/>
      <c r="Q2" s="2"/>
    </row>
    <row r="3" spans="1:17" s="5" customFormat="1" ht="16.5" customHeight="1">
      <c r="A3" s="74" t="s">
        <v>32</v>
      </c>
      <c r="B3" s="76" t="s">
        <v>33</v>
      </c>
      <c r="C3" s="76" t="s">
        <v>34</v>
      </c>
      <c r="D3" s="76" t="s">
        <v>35</v>
      </c>
      <c r="E3" s="76" t="s">
        <v>36</v>
      </c>
      <c r="F3" s="76" t="s">
        <v>37</v>
      </c>
      <c r="G3" s="76" t="s">
        <v>38</v>
      </c>
      <c r="H3" s="76" t="s">
        <v>39</v>
      </c>
      <c r="I3" s="78" t="s">
        <v>40</v>
      </c>
      <c r="J3" s="70"/>
      <c r="K3" s="70"/>
      <c r="L3" s="4"/>
      <c r="M3" s="70"/>
    </row>
    <row r="4" spans="1:17" s="5" customFormat="1" ht="29.25" customHeight="1">
      <c r="A4" s="75"/>
      <c r="B4" s="77"/>
      <c r="C4" s="77"/>
      <c r="D4" s="77"/>
      <c r="E4" s="77"/>
      <c r="F4" s="77"/>
      <c r="G4" s="77"/>
      <c r="H4" s="77"/>
      <c r="I4" s="79"/>
      <c r="J4" s="70"/>
      <c r="K4" s="70"/>
      <c r="L4" s="4"/>
      <c r="M4" s="70"/>
    </row>
    <row r="5" spans="1:17" ht="30" customHeight="1">
      <c r="A5" s="6" t="s">
        <v>2</v>
      </c>
      <c r="B5" s="7">
        <f>48865621378+12532000000</f>
        <v>61397621378</v>
      </c>
      <c r="C5" s="8">
        <v>50658910627</v>
      </c>
      <c r="D5" s="7">
        <f>46795621378+12532000000</f>
        <v>59327621378</v>
      </c>
      <c r="E5" s="8">
        <v>62046145312</v>
      </c>
      <c r="F5" s="7">
        <f>12532000000+44795621378</f>
        <v>57327621378</v>
      </c>
      <c r="G5" s="8">
        <v>55914712179</v>
      </c>
      <c r="H5" s="7">
        <f>B5+D5+F5</f>
        <v>178052864134</v>
      </c>
      <c r="I5" s="9">
        <f>C5+E5+G5</f>
        <v>168619768118</v>
      </c>
      <c r="J5" s="10"/>
      <c r="K5" s="9">
        <f>H5-I5</f>
        <v>9433096016</v>
      </c>
      <c r="L5" s="80">
        <f>K5/H5</f>
        <v>5.2979187174999831E-2</v>
      </c>
      <c r="M5" s="11"/>
      <c r="N5" s="5"/>
      <c r="O5" s="5"/>
    </row>
    <row r="6" spans="1:17" ht="30" customHeight="1">
      <c r="A6" s="6" t="s">
        <v>3</v>
      </c>
      <c r="B6" s="86">
        <f>-62813585127-B8</f>
        <v>-60301041722</v>
      </c>
      <c r="C6" s="8">
        <f>-((C31*96%)+(C33*92%)+C35)</f>
        <v>-44906061173.269997</v>
      </c>
      <c r="D6" s="7">
        <f>-62813585127-D8</f>
        <v>-60301041722</v>
      </c>
      <c r="E6" s="8">
        <f>-((E31*96%)+(E33*92%)+E35)</f>
        <v>-51790156326.949997</v>
      </c>
      <c r="F6" s="7">
        <f>-62813585127-F8</f>
        <v>-60301041722</v>
      </c>
      <c r="G6" s="8">
        <f>-((G31*96%)+(G33*92%)+G35)</f>
        <v>-56443759382.229996</v>
      </c>
      <c r="H6" s="7">
        <f t="shared" ref="H6:H16" si="0">B6+D6+F6</f>
        <v>-180903125166</v>
      </c>
      <c r="I6" s="9">
        <f>C6+E6+G6</f>
        <v>-153139976882.45001</v>
      </c>
      <c r="J6" s="10"/>
      <c r="K6" s="9">
        <f>H6-I6</f>
        <v>-27763148283.549988</v>
      </c>
      <c r="L6" s="80">
        <f>K6/H6</f>
        <v>0.1534696996421373</v>
      </c>
      <c r="M6" s="11"/>
      <c r="N6" s="5"/>
      <c r="O6" s="5"/>
    </row>
    <row r="7" spans="1:17" ht="30" customHeight="1">
      <c r="A7" s="50" t="s">
        <v>4</v>
      </c>
      <c r="B7" s="7">
        <f>B5+B6</f>
        <v>1096579656</v>
      </c>
      <c r="C7" s="7">
        <f>C5+C6</f>
        <v>5752849453.7300034</v>
      </c>
      <c r="D7" s="7">
        <f>D5+D6</f>
        <v>-973420344</v>
      </c>
      <c r="E7" s="7">
        <f>E5+E6</f>
        <v>10255988985.050003</v>
      </c>
      <c r="F7" s="7">
        <f>F5+F6</f>
        <v>-2973420344</v>
      </c>
      <c r="G7" s="7">
        <f>G5+G6</f>
        <v>-529047203.22999573</v>
      </c>
      <c r="H7" s="7">
        <f t="shared" si="0"/>
        <v>-2850261032</v>
      </c>
      <c r="I7" s="52">
        <f>C7+E7+G7</f>
        <v>15479791235.550011</v>
      </c>
      <c r="J7" s="10"/>
      <c r="K7" s="9">
        <f>H7-I7</f>
        <v>-18330052267.550011</v>
      </c>
      <c r="L7" s="80">
        <f>K7/H7</f>
        <v>6.4310082696839856</v>
      </c>
      <c r="M7" s="11"/>
      <c r="N7" s="5"/>
      <c r="O7" s="5"/>
    </row>
    <row r="8" spans="1:17" ht="30" customHeight="1">
      <c r="A8" s="6" t="s">
        <v>5</v>
      </c>
      <c r="B8" s="7">
        <v>-2512543405</v>
      </c>
      <c r="C8" s="8">
        <f>-((C31*4%)+(C33*8%)+C9)</f>
        <v>-1828140425.48</v>
      </c>
      <c r="D8" s="7">
        <v>-2512543405</v>
      </c>
      <c r="E8" s="8">
        <f>-((E31*4%)+(E33*8%))</f>
        <v>-2219288236.8000002</v>
      </c>
      <c r="F8" s="7">
        <v>-2512543405</v>
      </c>
      <c r="G8" s="8">
        <f>-((G31*4%)+(G33*8%)+G9)</f>
        <v>-2171094225.52</v>
      </c>
      <c r="H8" s="7">
        <f t="shared" si="0"/>
        <v>-7537630215</v>
      </c>
      <c r="I8" s="9">
        <f>C8+E8+G8</f>
        <v>-6218522887.8000002</v>
      </c>
      <c r="J8" s="10"/>
      <c r="K8" s="10"/>
      <c r="L8" s="4"/>
      <c r="M8" s="11"/>
      <c r="N8" s="5"/>
      <c r="O8" s="5"/>
    </row>
    <row r="9" spans="1:17" ht="30" customHeight="1">
      <c r="A9" s="6" t="s">
        <v>6</v>
      </c>
      <c r="B9" s="7">
        <v>0</v>
      </c>
      <c r="C9" s="8">
        <v>-43000000</v>
      </c>
      <c r="D9" s="7">
        <v>0</v>
      </c>
      <c r="E9" s="8">
        <v>0</v>
      </c>
      <c r="F9" s="7">
        <v>0</v>
      </c>
      <c r="G9" s="8">
        <v>-359494500</v>
      </c>
      <c r="H9" s="7">
        <f t="shared" si="0"/>
        <v>0</v>
      </c>
      <c r="I9" s="9">
        <f t="shared" ref="I9:I10" si="1">C9+E9+G9</f>
        <v>-402494500</v>
      </c>
      <c r="J9" s="10"/>
      <c r="K9" s="10"/>
      <c r="L9" s="4"/>
      <c r="M9" s="11"/>
      <c r="N9" s="5"/>
      <c r="O9" s="5"/>
    </row>
    <row r="10" spans="1:17" ht="30" customHeight="1">
      <c r="A10" s="6" t="s">
        <v>7</v>
      </c>
      <c r="B10" s="7">
        <v>0</v>
      </c>
      <c r="C10" s="8">
        <v>0</v>
      </c>
      <c r="D10" s="7">
        <v>0</v>
      </c>
      <c r="E10" s="8">
        <v>0</v>
      </c>
      <c r="F10" s="7">
        <v>0</v>
      </c>
      <c r="G10" s="8">
        <v>0</v>
      </c>
      <c r="H10" s="7">
        <f t="shared" si="0"/>
        <v>0</v>
      </c>
      <c r="I10" s="9">
        <f>C10+E10+G10</f>
        <v>0</v>
      </c>
      <c r="J10" s="10"/>
      <c r="K10" s="10"/>
      <c r="L10" s="4"/>
      <c r="M10" s="11"/>
      <c r="N10" s="5"/>
      <c r="O10" s="5"/>
    </row>
    <row r="11" spans="1:17" ht="30" customHeight="1">
      <c r="A11" s="50" t="s">
        <v>8</v>
      </c>
      <c r="B11" s="7">
        <f t="shared" ref="B11:G11" si="2">B7+B8+B10</f>
        <v>-1415963749</v>
      </c>
      <c r="C11" s="7">
        <f t="shared" si="2"/>
        <v>3924709028.2500033</v>
      </c>
      <c r="D11" s="7">
        <v>0</v>
      </c>
      <c r="E11" s="7">
        <f t="shared" si="2"/>
        <v>8036700748.2500029</v>
      </c>
      <c r="F11" s="7">
        <f t="shared" si="2"/>
        <v>-5485963749</v>
      </c>
      <c r="G11" s="7">
        <f t="shared" si="2"/>
        <v>-2700141428.7499957</v>
      </c>
      <c r="H11" s="7">
        <f t="shared" si="0"/>
        <v>-6901927498</v>
      </c>
      <c r="I11" s="52">
        <f>C11+E11+G11</f>
        <v>9261268347.7500095</v>
      </c>
      <c r="J11" s="10"/>
      <c r="K11" s="10"/>
      <c r="L11" s="4"/>
      <c r="M11" s="11"/>
      <c r="N11" s="5"/>
      <c r="O11" s="5"/>
    </row>
    <row r="12" spans="1:17" ht="30" customHeight="1">
      <c r="A12" s="6" t="s">
        <v>9</v>
      </c>
      <c r="B12" s="7">
        <v>0</v>
      </c>
      <c r="C12" s="8">
        <v>0</v>
      </c>
      <c r="D12" s="7">
        <v>0</v>
      </c>
      <c r="E12" s="8">
        <v>0</v>
      </c>
      <c r="F12" s="7">
        <v>0</v>
      </c>
      <c r="G12" s="8">
        <v>0</v>
      </c>
      <c r="H12" s="7">
        <f t="shared" si="0"/>
        <v>0</v>
      </c>
      <c r="I12" s="9">
        <f t="shared" ref="I12:I13" si="3">C12+E12+G12</f>
        <v>0</v>
      </c>
      <c r="J12" s="10"/>
      <c r="K12" s="10"/>
      <c r="L12" s="4"/>
      <c r="M12" s="11"/>
      <c r="N12" s="5"/>
      <c r="O12" s="5"/>
    </row>
    <row r="13" spans="1:17" ht="30" customHeight="1">
      <c r="A13" s="6" t="s">
        <v>10</v>
      </c>
      <c r="B13" s="7">
        <v>0</v>
      </c>
      <c r="C13" s="8">
        <v>0</v>
      </c>
      <c r="D13" s="7">
        <v>0</v>
      </c>
      <c r="E13" s="7">
        <v>0</v>
      </c>
      <c r="F13" s="8">
        <v>0</v>
      </c>
      <c r="G13" s="8">
        <v>0</v>
      </c>
      <c r="H13" s="7">
        <f t="shared" si="0"/>
        <v>0</v>
      </c>
      <c r="I13" s="9">
        <f t="shared" si="3"/>
        <v>0</v>
      </c>
      <c r="J13" s="10"/>
      <c r="K13" s="10"/>
      <c r="L13" s="4"/>
      <c r="M13" s="11"/>
      <c r="N13" s="5"/>
      <c r="O13" s="5"/>
    </row>
    <row r="14" spans="1:17" ht="30" customHeight="1">
      <c r="A14" s="50" t="s">
        <v>11</v>
      </c>
      <c r="B14" s="7">
        <f t="shared" ref="B14:G14" si="4">B11+B12+B13</f>
        <v>-1415963749</v>
      </c>
      <c r="C14" s="7">
        <f t="shared" si="4"/>
        <v>3924709028.2500033</v>
      </c>
      <c r="D14" s="7">
        <f t="shared" si="4"/>
        <v>0</v>
      </c>
      <c r="E14" s="7">
        <f t="shared" si="4"/>
        <v>8036700748.2500029</v>
      </c>
      <c r="F14" s="7">
        <f t="shared" si="4"/>
        <v>-5485963749</v>
      </c>
      <c r="G14" s="7">
        <f t="shared" si="4"/>
        <v>-2700141428.7499957</v>
      </c>
      <c r="H14" s="7">
        <f t="shared" si="0"/>
        <v>-6901927498</v>
      </c>
      <c r="I14" s="52">
        <f>C14+E14+G14</f>
        <v>9261268347.7500095</v>
      </c>
      <c r="J14" s="10"/>
      <c r="K14" s="10"/>
      <c r="L14" s="4"/>
      <c r="M14" s="11"/>
      <c r="N14" s="5"/>
      <c r="O14" s="5"/>
    </row>
    <row r="15" spans="1:17" ht="30" customHeight="1">
      <c r="A15" s="6" t="s">
        <v>12</v>
      </c>
      <c r="B15" s="7">
        <v>0</v>
      </c>
      <c r="C15" s="8">
        <v>0</v>
      </c>
      <c r="D15" s="7">
        <v>0</v>
      </c>
      <c r="E15" s="8">
        <v>0</v>
      </c>
      <c r="F15" s="7">
        <v>0</v>
      </c>
      <c r="G15" s="8">
        <v>0</v>
      </c>
      <c r="H15" s="7">
        <f t="shared" si="0"/>
        <v>0</v>
      </c>
      <c r="I15" s="9">
        <f>C15+E15+G15</f>
        <v>0</v>
      </c>
      <c r="J15" s="10"/>
      <c r="K15" s="10"/>
      <c r="L15" s="4"/>
      <c r="M15" s="11"/>
      <c r="N15" s="5"/>
      <c r="O15" s="5"/>
    </row>
    <row r="16" spans="1:17" ht="30" customHeight="1" thickBot="1">
      <c r="A16" s="51" t="s">
        <v>13</v>
      </c>
      <c r="B16" s="12">
        <f t="shared" ref="B16:G16" si="5">B14</f>
        <v>-1415963749</v>
      </c>
      <c r="C16" s="12">
        <f t="shared" si="5"/>
        <v>3924709028.2500033</v>
      </c>
      <c r="D16" s="12">
        <f t="shared" si="5"/>
        <v>0</v>
      </c>
      <c r="E16" s="12">
        <f t="shared" si="5"/>
        <v>8036700748.2500029</v>
      </c>
      <c r="F16" s="12">
        <f t="shared" si="5"/>
        <v>-5485963749</v>
      </c>
      <c r="G16" s="12">
        <f t="shared" si="5"/>
        <v>-2700141428.7499957</v>
      </c>
      <c r="H16" s="12">
        <f t="shared" si="0"/>
        <v>-6901927498</v>
      </c>
      <c r="I16" s="13">
        <f>C16+E16+G16</f>
        <v>9261268347.7500095</v>
      </c>
      <c r="J16" s="10"/>
      <c r="K16" s="10"/>
      <c r="L16" s="4"/>
      <c r="M16" s="11"/>
      <c r="N16" s="5"/>
      <c r="O16" s="5"/>
    </row>
    <row r="17" spans="1:20" ht="9.75" customHeight="1">
      <c r="A17" s="14"/>
      <c r="B17" s="15"/>
      <c r="C17" s="15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T17" s="16" t="e">
        <f>(#REF!-#REF!)/ABS(#REF!)</f>
        <v>#REF!</v>
      </c>
    </row>
    <row r="18" spans="1:20" ht="10.5" customHeight="1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1:20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20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3" spans="1:20">
      <c r="A23" s="17"/>
      <c r="C23" s="3">
        <f>SUM(C34:C34)</f>
        <v>44644622570</v>
      </c>
      <c r="E23" s="3">
        <f>SUM(E34:E34)</f>
        <v>51876365535</v>
      </c>
      <c r="G23" s="3">
        <f>SUM(G34:G34)</f>
        <v>56841269079</v>
      </c>
    </row>
    <row r="24" spans="1:20">
      <c r="A24" s="17"/>
      <c r="B24" s="82">
        <v>48865.621377736301</v>
      </c>
      <c r="D24" s="82">
        <v>46795.621377736272</v>
      </c>
      <c r="F24" s="3">
        <v>44795.621377736272</v>
      </c>
    </row>
    <row r="25" spans="1:20">
      <c r="A25" s="17"/>
    </row>
    <row r="26" spans="1:20">
      <c r="A26" s="17"/>
    </row>
    <row r="27" spans="1:20">
      <c r="A27" s="17"/>
    </row>
    <row r="28" spans="1:20">
      <c r="A28" s="17"/>
    </row>
    <row r="29" spans="1:20">
      <c r="A29" s="17"/>
      <c r="C29" s="81">
        <v>41155476445</v>
      </c>
      <c r="D29" s="81"/>
      <c r="E29" s="81">
        <v>47595809655</v>
      </c>
      <c r="F29" s="81"/>
      <c r="G29" s="81">
        <v>47740799525</v>
      </c>
    </row>
    <row r="30" spans="1:20">
      <c r="A30" s="17"/>
      <c r="C30" s="81">
        <v>1354258058</v>
      </c>
      <c r="D30" s="81"/>
      <c r="E30" s="81">
        <v>674715495</v>
      </c>
      <c r="F30" s="81"/>
      <c r="G30" s="81">
        <v>2677020495</v>
      </c>
    </row>
    <row r="31" spans="1:20">
      <c r="A31" s="17" t="s">
        <v>46</v>
      </c>
      <c r="C31" s="81">
        <f>SUM(C29:C30)</f>
        <v>42509734503</v>
      </c>
      <c r="D31" s="81">
        <f t="shared" ref="D31:F31" si="6">SUM(D29:D30)</f>
        <v>0</v>
      </c>
      <c r="E31" s="81">
        <f t="shared" si="6"/>
        <v>48270525150</v>
      </c>
      <c r="F31" s="81">
        <f t="shared" si="6"/>
        <v>0</v>
      </c>
      <c r="G31" s="81">
        <f>SUM(G29:G30)</f>
        <v>50417820020</v>
      </c>
    </row>
    <row r="32" spans="1:20">
      <c r="A32" s="17"/>
    </row>
    <row r="33" spans="1:7">
      <c r="A33" s="18" t="s">
        <v>47</v>
      </c>
      <c r="C33" s="84">
        <f>'[2]3 ماهه'!$E$64+'[2]3 ماهه'!$E$32+'[2]3 ماهه'!$E$23+'[2]3 ماهه'!$E$59</f>
        <v>2134388067</v>
      </c>
      <c r="E33" s="84">
        <f>'[2]3 ماهه'!$F$64+'[2]3 ماهه'!$F$32+'[2]3 ماهه'!$F$23+'[2]3 ماهه'!$F$59</f>
        <v>3605840385</v>
      </c>
      <c r="F33" s="84"/>
      <c r="G33" s="84">
        <f>'[2]3 ماهه'!$G$64+'[2]3 ماهه'!$G$32+'[2]3 ماهه'!$G$23+'[2]3 ماهه'!$G$59</f>
        <v>6423449059</v>
      </c>
    </row>
    <row r="34" spans="1:7">
      <c r="A34" s="53" t="s">
        <v>44</v>
      </c>
      <c r="C34" s="81">
        <v>44644622570</v>
      </c>
      <c r="D34" s="81"/>
      <c r="E34" s="81">
        <v>51876365535</v>
      </c>
      <c r="F34" s="81"/>
      <c r="G34" s="81">
        <v>56841269079</v>
      </c>
    </row>
    <row r="35" spans="1:7">
      <c r="A35" s="18" t="s">
        <v>45</v>
      </c>
      <c r="C35" s="81">
        <f>25596948345/12</f>
        <v>2133079028.75</v>
      </c>
      <c r="D35" s="81"/>
      <c r="E35" s="81">
        <f>25596948345/12</f>
        <v>2133079028.75</v>
      </c>
      <c r="F35" s="81"/>
      <c r="G35" s="81">
        <f>25596948345/12</f>
        <v>2133079028.75</v>
      </c>
    </row>
    <row r="36" spans="1:7">
      <c r="B36" s="85">
        <f>C8/C34</f>
        <v>-4.0948726190115935E-2</v>
      </c>
    </row>
    <row r="37" spans="1:7">
      <c r="C37" s="83">
        <f>C34-C31-B34</f>
        <v>2134888067</v>
      </c>
      <c r="D37" s="83">
        <f>D34-D31-D35</f>
        <v>0</v>
      </c>
      <c r="E37" s="83">
        <f>E34-E31</f>
        <v>3605840385</v>
      </c>
      <c r="F37" s="83">
        <f>F34-F31-F35</f>
        <v>0</v>
      </c>
      <c r="G37" s="83">
        <f>G34-G31</f>
        <v>6423449059</v>
      </c>
    </row>
    <row r="41" spans="1:7">
      <c r="C41" s="81">
        <f>C9+C8+C6</f>
        <v>-46777201598.75</v>
      </c>
      <c r="D41" s="81">
        <f t="shared" ref="D41:G41" si="7">D9+D8+D6</f>
        <v>-62813585127</v>
      </c>
      <c r="E41" s="81">
        <f t="shared" si="7"/>
        <v>-54009444563.75</v>
      </c>
      <c r="F41" s="81">
        <f t="shared" si="7"/>
        <v>-62813585127</v>
      </c>
      <c r="G41" s="81">
        <f t="shared" si="7"/>
        <v>-58974348107.749992</v>
      </c>
    </row>
    <row r="42" spans="1:7">
      <c r="C42" s="81">
        <f>C41+C34</f>
        <v>-2132579028.75</v>
      </c>
      <c r="D42" s="81">
        <f t="shared" ref="D42:G42" si="8">D41+D34</f>
        <v>-62813585127</v>
      </c>
      <c r="E42" s="81">
        <f t="shared" si="8"/>
        <v>-2133079028.75</v>
      </c>
      <c r="F42" s="81">
        <f t="shared" si="8"/>
        <v>-62813585127</v>
      </c>
      <c r="G42" s="81">
        <f t="shared" si="8"/>
        <v>-2133079028.7499924</v>
      </c>
    </row>
    <row r="43" spans="1:7">
      <c r="C43" s="81">
        <f>C42+C35</f>
        <v>500000</v>
      </c>
      <c r="D43" s="81">
        <f t="shared" ref="D43:G43" si="9">D42+D35</f>
        <v>-62813585127</v>
      </c>
      <c r="E43" s="81">
        <f t="shared" si="9"/>
        <v>0</v>
      </c>
      <c r="F43" s="81">
        <f t="shared" si="9"/>
        <v>-62813585127</v>
      </c>
      <c r="G43" s="81">
        <f t="shared" si="9"/>
        <v>7.62939453125E-6</v>
      </c>
    </row>
  </sheetData>
  <mergeCells count="15">
    <mergeCell ref="K3:K4"/>
    <mergeCell ref="M3:M4"/>
    <mergeCell ref="A18:O20"/>
    <mergeCell ref="A2:I2"/>
    <mergeCell ref="A1:I1"/>
    <mergeCell ref="J3:J4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سودوزیان </vt:lpstr>
      <vt:lpstr>عملکرددی</vt:lpstr>
      <vt:lpstr>3 ماهه</vt:lpstr>
      <vt:lpstr>تجمیع 12 ماهه</vt:lpstr>
      <vt:lpstr>'3 ماهه'!Print_Area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2022-08-18T13:58:52Z</dcterms:modified>
</cp:coreProperties>
</file>